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C:\Users\Mark\Documents\1Work\1equity research - company folders\CSWI\"/>
    </mc:Choice>
  </mc:AlternateContent>
  <xr:revisionPtr revIDLastSave="0" documentId="13_ncr:1_{2E01D0AF-108C-4814-AE8F-B8F57EC04770}" xr6:coauthVersionLast="47" xr6:coauthVersionMax="47" xr10:uidLastSave="{00000000-0000-0000-0000-000000000000}"/>
  <bookViews>
    <workbookView xWindow="-120" yWindow="-120" windowWidth="29040" windowHeight="15720" tabRatio="857" activeTab="1" xr2:uid="{7D5F130B-5C4C-43C2-8E7F-8223C61F2F14}"/>
  </bookViews>
  <sheets>
    <sheet name="Input Sheet" sheetId="1" r:id="rId1"/>
    <sheet name="Valuation Output" sheetId="6" r:id="rId2"/>
    <sheet name="Checks" sheetId="17" r:id="rId3"/>
    <sheet name="Option value" sheetId="7" r:id="rId4"/>
    <sheet name="R&amp; D converter" sheetId="8" r:id="rId5"/>
    <sheet name="Operating lease converter" sheetId="9" r:id="rId6"/>
    <sheet name="Cost of capital worksheet" sheetId="10" r:id="rId7"/>
    <sheet name="Synthetic rating" sheetId="12" r:id="rId8"/>
    <sheet name="Countries" sheetId="4" r:id="rId9"/>
    <sheet name="Industries" sheetId="5" r:id="rId10"/>
    <sheet name="Industry Averages(US)" sheetId="13" r:id="rId11"/>
    <sheet name="Global industry averages" sheetId="15" r:id="rId12"/>
    <sheet name="Country equity risk premiums" sheetId="14" r:id="rId13"/>
    <sheet name="Answer Keys" sheetId="2" r:id="rId14"/>
    <sheet name="TTM Calc" sheetId="16" r:id="rId15"/>
  </sheet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0" i="1" l="1"/>
  <c r="C12" i="1"/>
  <c r="B12" i="1"/>
  <c r="E7" i="16"/>
  <c r="M102" i="17" s="1"/>
  <c r="B163" i="14" l="1"/>
  <c r="B157" i="14" s="1"/>
  <c r="D150" i="14"/>
  <c r="D151" i="14"/>
  <c r="D152" i="14"/>
  <c r="D149"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3" i="14"/>
  <c r="D2" i="14"/>
  <c r="B156" i="14" l="1"/>
  <c r="B165" i="14"/>
  <c r="B162" i="14"/>
  <c r="B161" i="14"/>
  <c r="B160" i="14"/>
  <c r="B159" i="14"/>
  <c r="B158" i="14"/>
  <c r="B164" i="14"/>
  <c r="K104" i="17"/>
  <c r="J104" i="17"/>
  <c r="K51" i="17" l="1"/>
  <c r="K46" i="17"/>
  <c r="K53" i="17" l="1"/>
  <c r="K54" i="17" s="1"/>
  <c r="E38" i="6"/>
  <c r="E2" i="6"/>
  <c r="C48" i="17" l="1"/>
  <c r="V15" i="17" l="1"/>
  <c r="Q15" i="17"/>
  <c r="W6" i="17"/>
  <c r="X6" i="17"/>
  <c r="V6" i="17"/>
  <c r="Q7" i="17"/>
  <c r="K39" i="1" l="1"/>
  <c r="J39" i="1"/>
  <c r="Q43" i="1" l="1"/>
  <c r="Q42" i="1"/>
  <c r="R43" i="1"/>
  <c r="R42" i="1"/>
  <c r="D12" i="12"/>
  <c r="E2" i="16" l="1"/>
  <c r="E4" i="16"/>
  <c r="M104" i="17" s="1"/>
  <c r="E5" i="16"/>
  <c r="J13" i="10" l="1"/>
  <c r="J12" i="10"/>
  <c r="J11" i="10"/>
  <c r="J10" i="10"/>
  <c r="J9" i="10"/>
  <c r="J8" i="10"/>
  <c r="J7" i="10"/>
  <c r="J6" i="10"/>
  <c r="J5" i="10"/>
  <c r="J4" i="10"/>
  <c r="J3" i="10"/>
  <c r="J26" i="10"/>
  <c r="E3" i="16" l="1"/>
  <c r="B10" i="6" l="1"/>
  <c r="K22" i="1" l="1"/>
  <c r="X7" i="17" s="1"/>
  <c r="K23" i="1"/>
  <c r="K24" i="1"/>
  <c r="X15" i="17" s="1"/>
  <c r="K25" i="1"/>
  <c r="K26" i="1"/>
  <c r="K27" i="1"/>
  <c r="X10" i="17" s="1"/>
  <c r="T17" i="17" l="1"/>
  <c r="T14" i="17"/>
  <c r="L58" i="10"/>
  <c r="L57" i="10"/>
  <c r="L56" i="10"/>
  <c r="L55" i="10"/>
  <c r="L54" i="10"/>
  <c r="L53" i="10"/>
  <c r="L52" i="10"/>
  <c r="L51" i="10"/>
  <c r="L50" i="10"/>
  <c r="L49" i="10"/>
  <c r="L48" i="10"/>
  <c r="L47" i="10"/>
  <c r="J58" i="10"/>
  <c r="J57" i="10"/>
  <c r="J56" i="10"/>
  <c r="J55" i="10"/>
  <c r="J54" i="10"/>
  <c r="J53" i="10"/>
  <c r="J52" i="10"/>
  <c r="J51" i="10"/>
  <c r="J50" i="10"/>
  <c r="J49" i="10"/>
  <c r="J48" i="10"/>
  <c r="J47" i="10"/>
  <c r="J42" i="10" l="1"/>
  <c r="L42" i="10" s="1"/>
  <c r="J41" i="10"/>
  <c r="L41" i="10" s="1"/>
  <c r="J40" i="10"/>
  <c r="L40" i="10" s="1"/>
  <c r="J39" i="10"/>
  <c r="L39" i="10" s="1"/>
  <c r="J38" i="10"/>
  <c r="L38" i="10" s="1"/>
  <c r="J37" i="10"/>
  <c r="L37" i="10" s="1"/>
  <c r="J36" i="10"/>
  <c r="L36" i="10" s="1"/>
  <c r="J35" i="10"/>
  <c r="L35" i="10" s="1"/>
  <c r="J34" i="10"/>
  <c r="L34" i="10" s="1"/>
  <c r="J33" i="10"/>
  <c r="L33" i="10" s="1"/>
  <c r="J32" i="10"/>
  <c r="L32" i="10" s="1"/>
  <c r="J31" i="10"/>
  <c r="L31" i="10" s="1"/>
  <c r="C38" i="6" l="1"/>
  <c r="D38" i="6" s="1"/>
  <c r="F38" i="6" s="1"/>
  <c r="G38" i="6" s="1"/>
  <c r="H38" i="6" s="1"/>
  <c r="I38" i="6" s="1"/>
  <c r="J38" i="6" s="1"/>
  <c r="K38" i="6" s="1"/>
  <c r="L38" i="6" s="1"/>
  <c r="J22" i="1"/>
  <c r="W7" i="17" s="1"/>
  <c r="J23" i="1"/>
  <c r="J24" i="1"/>
  <c r="W15" i="17" s="1"/>
  <c r="J25" i="1"/>
  <c r="J26" i="1"/>
  <c r="J27" i="1"/>
  <c r="W10" i="17" s="1"/>
  <c r="J19" i="10"/>
  <c r="J20" i="10"/>
  <c r="J21" i="10"/>
  <c r="J22" i="10"/>
  <c r="J23" i="10"/>
  <c r="J24" i="10"/>
  <c r="J25" i="10"/>
  <c r="J18" i="10"/>
  <c r="J17" i="10"/>
  <c r="H19" i="10"/>
  <c r="H20" i="10"/>
  <c r="H21" i="10"/>
  <c r="H22" i="10"/>
  <c r="H23" i="10"/>
  <c r="H24" i="10"/>
  <c r="H25" i="10"/>
  <c r="H18" i="10"/>
  <c r="H17" i="10"/>
  <c r="S17" i="17" l="1"/>
  <c r="S14" i="17"/>
  <c r="F7" i="12"/>
  <c r="C4" i="12"/>
  <c r="K10" i="10"/>
  <c r="L10" i="10" s="1"/>
  <c r="K11" i="10"/>
  <c r="L11" i="10" s="1"/>
  <c r="K12" i="10"/>
  <c r="L12" i="10" s="1"/>
  <c r="K13" i="10"/>
  <c r="L13" i="10" s="1"/>
  <c r="K33" i="10"/>
  <c r="K34" i="10"/>
  <c r="K35" i="10"/>
  <c r="K36" i="10"/>
  <c r="K37" i="10"/>
  <c r="K38" i="10"/>
  <c r="K39" i="10"/>
  <c r="K40" i="10"/>
  <c r="K41" i="10"/>
  <c r="K42" i="10"/>
  <c r="K47" i="10"/>
  <c r="K48" i="10"/>
  <c r="K49" i="10"/>
  <c r="K50" i="10"/>
  <c r="K51" i="10"/>
  <c r="K52" i="10"/>
  <c r="K53" i="10"/>
  <c r="K54" i="10"/>
  <c r="K55" i="10"/>
  <c r="K56" i="10"/>
  <c r="K57" i="10"/>
  <c r="K58" i="10"/>
  <c r="I14" i="10"/>
  <c r="K3" i="10" s="1"/>
  <c r="I27" i="10"/>
  <c r="K32" i="10"/>
  <c r="I59" i="10"/>
  <c r="D46" i="10"/>
  <c r="D48" i="10"/>
  <c r="B4" i="10"/>
  <c r="B5" i="10"/>
  <c r="B10" i="10"/>
  <c r="B16" i="10"/>
  <c r="B17" i="10"/>
  <c r="B24" i="10"/>
  <c r="D18" i="9"/>
  <c r="B27" i="9" s="1"/>
  <c r="B22" i="9"/>
  <c r="B23" i="9"/>
  <c r="B24" i="9"/>
  <c r="B25" i="9"/>
  <c r="B26" i="9"/>
  <c r="A22" i="9"/>
  <c r="A23" i="9"/>
  <c r="A24" i="9"/>
  <c r="A25" i="9"/>
  <c r="A26" i="9"/>
  <c r="A27" i="9"/>
  <c r="C24" i="8"/>
  <c r="B24" i="8"/>
  <c r="B25" i="8"/>
  <c r="B26" i="8"/>
  <c r="B27" i="8"/>
  <c r="B28" i="8"/>
  <c r="B29" i="8"/>
  <c r="B30" i="8"/>
  <c r="B31" i="8"/>
  <c r="B32" i="8"/>
  <c r="B33" i="8"/>
  <c r="B34" i="8"/>
  <c r="A12" i="8"/>
  <c r="A13" i="8" s="1"/>
  <c r="A14" i="8" s="1"/>
  <c r="A25" i="8"/>
  <c r="C25" i="8" s="1"/>
  <c r="F17" i="7"/>
  <c r="D2" i="7"/>
  <c r="C13" i="7" s="1"/>
  <c r="D3" i="7"/>
  <c r="C14" i="7" s="1"/>
  <c r="C16" i="7" s="1"/>
  <c r="D4" i="7"/>
  <c r="C17" i="7" s="1"/>
  <c r="D5" i="7"/>
  <c r="F16" i="7" s="1"/>
  <c r="D7" i="7"/>
  <c r="F15" i="7" s="1"/>
  <c r="D8" i="7"/>
  <c r="F13" i="7" s="1"/>
  <c r="D9" i="7"/>
  <c r="F14" i="7" s="1"/>
  <c r="I43" i="10" l="1"/>
  <c r="K31" i="10"/>
  <c r="K43" i="10" s="1"/>
  <c r="L43" i="10" s="1"/>
  <c r="K9" i="10"/>
  <c r="L9" i="10" s="1"/>
  <c r="D24" i="8"/>
  <c r="K19" i="10"/>
  <c r="L19" i="10" s="1"/>
  <c r="K26" i="10"/>
  <c r="L26" i="10" s="1"/>
  <c r="E25" i="8"/>
  <c r="K22" i="10"/>
  <c r="L22" i="10" s="1"/>
  <c r="K24" i="10"/>
  <c r="L24" i="10" s="1"/>
  <c r="K23" i="10"/>
  <c r="L23" i="10" s="1"/>
  <c r="A26" i="8"/>
  <c r="E26" i="8" s="1"/>
  <c r="F18" i="7"/>
  <c r="B46" i="10"/>
  <c r="K59" i="10"/>
  <c r="L59" i="10" s="1"/>
  <c r="K25" i="10"/>
  <c r="L25" i="10" s="1"/>
  <c r="K17" i="10"/>
  <c r="L17" i="10" s="1"/>
  <c r="K18" i="10"/>
  <c r="L18" i="10" s="1"/>
  <c r="K27" i="10"/>
  <c r="K20" i="10"/>
  <c r="L20" i="10" s="1"/>
  <c r="K21" i="10"/>
  <c r="L21" i="10" s="1"/>
  <c r="K8" i="10"/>
  <c r="L8" i="10" s="1"/>
  <c r="K7" i="10"/>
  <c r="L7" i="10" s="1"/>
  <c r="K6" i="10"/>
  <c r="L6" i="10" s="1"/>
  <c r="K5" i="10"/>
  <c r="L5" i="10" s="1"/>
  <c r="K4" i="10"/>
  <c r="L4" i="10" s="1"/>
  <c r="L3" i="10"/>
  <c r="D25" i="8"/>
  <c r="A15" i="8"/>
  <c r="A28" i="8"/>
  <c r="A27" i="8"/>
  <c r="B9" i="10" l="1"/>
  <c r="C26" i="8"/>
  <c r="D26" i="8" s="1"/>
  <c r="K14" i="10"/>
  <c r="L27" i="10"/>
  <c r="L14" i="10"/>
  <c r="E27" i="8"/>
  <c r="C27" i="8"/>
  <c r="D27" i="8" s="1"/>
  <c r="E28" i="8"/>
  <c r="C28" i="8"/>
  <c r="D28" i="8" s="1"/>
  <c r="A16" i="8"/>
  <c r="A29" i="8"/>
  <c r="B13" i="10" l="1"/>
  <c r="A17" i="8"/>
  <c r="A30" i="8"/>
  <c r="E29" i="8"/>
  <c r="C29" i="8"/>
  <c r="D29" i="8" s="1"/>
  <c r="E30" i="8" l="1"/>
  <c r="C30" i="8"/>
  <c r="D30" i="8" s="1"/>
  <c r="A18" i="8"/>
  <c r="A31" i="8"/>
  <c r="E31" i="8" l="1"/>
  <c r="C31" i="8"/>
  <c r="D31" i="8" s="1"/>
  <c r="A32" i="8"/>
  <c r="A19" i="8"/>
  <c r="A20" i="8" l="1"/>
  <c r="A34" i="8" s="1"/>
  <c r="A33" i="8"/>
  <c r="C32" i="8"/>
  <c r="D32" i="8" s="1"/>
  <c r="E32" i="8"/>
  <c r="E33" i="8" l="1"/>
  <c r="C33" i="8"/>
  <c r="D33" i="8" s="1"/>
  <c r="E34" i="8"/>
  <c r="C34" i="8"/>
  <c r="D34" i="8" s="1"/>
  <c r="D35" i="8" l="1"/>
  <c r="E35" i="8"/>
  <c r="D37" i="8" s="1"/>
  <c r="D39" i="8" s="1"/>
  <c r="D40" i="8" s="1"/>
  <c r="B34" i="6"/>
  <c r="C45" i="17" s="1"/>
  <c r="B32" i="6"/>
  <c r="B26" i="6"/>
  <c r="B27" i="6"/>
  <c r="B28" i="6"/>
  <c r="B23" i="6"/>
  <c r="B22" i="6"/>
  <c r="M12" i="6"/>
  <c r="M6" i="6"/>
  <c r="B6" i="6"/>
  <c r="C6" i="6" s="1"/>
  <c r="D6" i="6" s="1"/>
  <c r="E6" i="6" s="1"/>
  <c r="F6" i="6" s="1"/>
  <c r="G6" i="6" s="1"/>
  <c r="B3" i="6"/>
  <c r="C2" i="6"/>
  <c r="B32" i="17" s="1"/>
  <c r="I25" i="1"/>
  <c r="I24" i="1"/>
  <c r="I22" i="1"/>
  <c r="V7" i="17" s="1"/>
  <c r="B17" i="6" l="1"/>
  <c r="V10" i="17"/>
  <c r="L43" i="1"/>
  <c r="P43" i="1"/>
  <c r="J43" i="1"/>
  <c r="S6" i="17"/>
  <c r="T6" i="17"/>
  <c r="H6" i="6"/>
  <c r="I6" i="6" s="1"/>
  <c r="J6" i="6" s="1"/>
  <c r="K6" i="6" s="1"/>
  <c r="L6" i="6" s="1"/>
  <c r="C3" i="6"/>
  <c r="C8" i="6" s="1"/>
  <c r="D2" i="6"/>
  <c r="C32" i="17" l="1"/>
  <c r="T9" i="17"/>
  <c r="S9" i="17"/>
  <c r="D3" i="6"/>
  <c r="E3" i="6" s="1"/>
  <c r="F2" i="6" l="1"/>
  <c r="F3" i="6" s="1"/>
  <c r="D32" i="17"/>
  <c r="D8" i="6"/>
  <c r="E8" i="6"/>
  <c r="G2" i="6" l="1"/>
  <c r="E32" i="17"/>
  <c r="G3" i="6"/>
  <c r="F8" i="6"/>
  <c r="K2" i="6" l="1"/>
  <c r="J32" i="17" s="1"/>
  <c r="F32" i="17"/>
  <c r="J2" i="6"/>
  <c r="I32" i="17" s="1"/>
  <c r="L2" i="6"/>
  <c r="H2" i="6"/>
  <c r="G32" i="17" s="1"/>
  <c r="I2" i="6"/>
  <c r="H32" i="17" s="1"/>
  <c r="G8" i="6"/>
  <c r="H3" i="6" l="1"/>
  <c r="I3" i="6" s="1"/>
  <c r="M2" i="6"/>
  <c r="K32" i="17"/>
  <c r="H8" i="6" l="1"/>
  <c r="L32" i="17"/>
  <c r="C28" i="17"/>
  <c r="I8" i="6"/>
  <c r="J3" i="6"/>
  <c r="J8" i="6" l="1"/>
  <c r="K3" i="6"/>
  <c r="K8" i="6" l="1"/>
  <c r="L3" i="6"/>
  <c r="M3" i="6" l="1"/>
  <c r="L8" i="6"/>
  <c r="I30" i="1" l="1"/>
  <c r="C27" i="17"/>
  <c r="B30" i="6" l="1"/>
  <c r="B31" i="10"/>
  <c r="C41" i="10" s="1"/>
  <c r="F5" i="12"/>
  <c r="F6" i="12"/>
  <c r="D9" i="12"/>
  <c r="B5" i="6"/>
  <c r="B4" i="6" s="1"/>
  <c r="B25" i="6"/>
  <c r="B39" i="6"/>
  <c r="B7" i="6" l="1"/>
  <c r="H4" i="6"/>
  <c r="H5" i="6" s="1"/>
  <c r="C4" i="6"/>
  <c r="C5" i="6" s="1"/>
  <c r="I4" i="6"/>
  <c r="I5" i="6" s="1"/>
  <c r="E4" i="6"/>
  <c r="E5" i="6" s="1"/>
  <c r="K4" i="6"/>
  <c r="K5" i="6" s="1"/>
  <c r="I23" i="1"/>
  <c r="F4" i="6"/>
  <c r="F5" i="6" s="1"/>
  <c r="L4" i="6"/>
  <c r="G4" i="6"/>
  <c r="G5" i="6" s="1"/>
  <c r="J4" i="6"/>
  <c r="J5" i="6" s="1"/>
  <c r="B40" i="6"/>
  <c r="C39" i="6"/>
  <c r="D39" i="6" s="1"/>
  <c r="E39" i="6" s="1"/>
  <c r="F39" i="6" s="1"/>
  <c r="G39" i="6" s="1"/>
  <c r="H39" i="6" s="1"/>
  <c r="I39" i="6" s="1"/>
  <c r="J39" i="6" s="1"/>
  <c r="K39" i="6" s="1"/>
  <c r="L39" i="6" s="1"/>
  <c r="D4" i="6"/>
  <c r="D5" i="6" s="1"/>
  <c r="D10" i="12"/>
  <c r="D11" i="12"/>
  <c r="D13" i="12" s="1"/>
  <c r="B23" i="10" l="1"/>
  <c r="C15" i="9"/>
  <c r="C10" i="6"/>
  <c r="D7" i="6" s="1"/>
  <c r="C7" i="6"/>
  <c r="L5" i="6"/>
  <c r="I57" i="17" s="1"/>
  <c r="K58" i="17" s="1"/>
  <c r="K59" i="17" s="1"/>
  <c r="M4" i="6"/>
  <c r="M5" i="6" s="1"/>
  <c r="C30" i="17" l="1"/>
  <c r="C34" i="17" s="1"/>
  <c r="D40" i="6"/>
  <c r="D9" i="6"/>
  <c r="B30" i="17"/>
  <c r="B34" i="17" s="1"/>
  <c r="C9" i="6"/>
  <c r="C40" i="6"/>
  <c r="C22" i="9"/>
  <c r="C23" i="9"/>
  <c r="C25" i="9"/>
  <c r="C26" i="9"/>
  <c r="C27" i="9"/>
  <c r="C24" i="9"/>
  <c r="D10" i="6"/>
  <c r="I31" i="1"/>
  <c r="N5" i="6"/>
  <c r="M7" i="6"/>
  <c r="C39" i="10"/>
  <c r="C48" i="10"/>
  <c r="C40" i="10"/>
  <c r="C42" i="10" s="1"/>
  <c r="C46" i="10" l="1"/>
  <c r="E7" i="6"/>
  <c r="E10" i="6"/>
  <c r="C28" i="9"/>
  <c r="C43" i="10" l="1"/>
  <c r="B48" i="10" s="1"/>
  <c r="C47" i="17" s="1"/>
  <c r="C49" i="17" s="1"/>
  <c r="E46" i="10"/>
  <c r="C47" i="10"/>
  <c r="F31" i="9"/>
  <c r="F32" i="9" s="1"/>
  <c r="F33" i="9"/>
  <c r="F34" i="9"/>
  <c r="F10" i="6"/>
  <c r="F7" i="6"/>
  <c r="D30" i="17"/>
  <c r="D34" i="17" s="1"/>
  <c r="E40" i="6"/>
  <c r="E9" i="6"/>
  <c r="F9" i="6" l="1"/>
  <c r="E30" i="17"/>
  <c r="E34" i="17" s="1"/>
  <c r="F40" i="6"/>
  <c r="G7" i="6"/>
  <c r="G10" i="6"/>
  <c r="B47" i="10"/>
  <c r="D47" i="10"/>
  <c r="H7" i="6" l="1"/>
  <c r="H10" i="6"/>
  <c r="F30" i="17"/>
  <c r="F34" i="17" s="1"/>
  <c r="G40" i="6"/>
  <c r="G9" i="6"/>
  <c r="E47" i="10"/>
  <c r="E48" i="10"/>
  <c r="B28" i="1" s="1"/>
  <c r="C12" i="6" l="1"/>
  <c r="L42" i="1"/>
  <c r="P42" i="1"/>
  <c r="J42" i="1"/>
  <c r="I7" i="6"/>
  <c r="I10" i="6"/>
  <c r="H40" i="6"/>
  <c r="G30" i="17"/>
  <c r="G34" i="17" s="1"/>
  <c r="H9" i="6"/>
  <c r="H30" i="17" l="1"/>
  <c r="H34" i="17" s="1"/>
  <c r="I9" i="6"/>
  <c r="I40" i="6"/>
  <c r="J7" i="6"/>
  <c r="J10" i="6"/>
  <c r="C13" i="6"/>
  <c r="D12" i="6"/>
  <c r="E12" i="6" s="1"/>
  <c r="F12" i="6" s="1"/>
  <c r="G12" i="6" s="1"/>
  <c r="H12" i="6" s="1"/>
  <c r="I12" i="6" s="1"/>
  <c r="J12" i="6" s="1"/>
  <c r="K12" i="6" s="1"/>
  <c r="L12" i="6" s="1"/>
  <c r="M40" i="6" s="1"/>
  <c r="M8" i="6" s="1"/>
  <c r="N8" i="6" l="1"/>
  <c r="M9" i="6"/>
  <c r="B16" i="6" s="1"/>
  <c r="B18" i="6" s="1"/>
  <c r="D13" i="6"/>
  <c r="C14" i="6"/>
  <c r="K7" i="6"/>
  <c r="K10" i="6"/>
  <c r="I30" i="17"/>
  <c r="I34" i="17" s="1"/>
  <c r="J40" i="6"/>
  <c r="J9" i="6"/>
  <c r="L10" i="6" l="1"/>
  <c r="M10" i="6" s="1"/>
  <c r="L7" i="6"/>
  <c r="J30" i="17"/>
  <c r="J34" i="17" s="1"/>
  <c r="K40" i="6"/>
  <c r="K9" i="6"/>
  <c r="E13" i="6"/>
  <c r="D14" i="6"/>
  <c r="L9" i="6" l="1"/>
  <c r="K30" i="17"/>
  <c r="K34" i="17" s="1"/>
  <c r="L40" i="6"/>
  <c r="I32" i="1" s="1"/>
  <c r="L30" i="17"/>
  <c r="L34" i="17" s="1"/>
  <c r="F13" i="6"/>
  <c r="E14" i="6"/>
  <c r="G13" i="6" l="1"/>
  <c r="F14" i="6"/>
  <c r="H13" i="6" l="1"/>
  <c r="G14" i="6"/>
  <c r="I13" i="6" l="1"/>
  <c r="H14" i="6"/>
  <c r="J13" i="6" l="1"/>
  <c r="I14" i="6"/>
  <c r="K13" i="6" l="1"/>
  <c r="J14" i="6"/>
  <c r="L13" i="6" l="1"/>
  <c r="K14" i="6"/>
  <c r="B19" i="6" l="1"/>
  <c r="L14" i="6"/>
  <c r="B20" i="6" s="1"/>
  <c r="B21" i="6" l="1"/>
  <c r="B24" i="6" s="1"/>
  <c r="B29" i="6" s="1"/>
  <c r="B31" i="6" s="1"/>
  <c r="B33" i="6" s="1"/>
  <c r="C46" i="17" l="1"/>
  <c r="D35" i="6"/>
  <c r="E35" i="6" s="1"/>
  <c r="B35" i="6"/>
  <c r="C52" i="17" l="1"/>
  <c r="D52" i="17" s="1"/>
  <c r="E52" i="17" s="1"/>
  <c r="C51" i="17"/>
  <c r="D51" i="17" s="1"/>
  <c r="E51" i="17" s="1"/>
  <c r="C15" i="7"/>
  <c r="B20" i="7"/>
  <c r="B21" i="7"/>
  <c r="B23" i="7"/>
  <c r="B24" i="7"/>
  <c r="C26" i="7"/>
  <c r="D2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B6" authorId="0" shapeId="0" xr:uid="{DDD76457-99B7-4CE0-A80F-440B99D9E2C5}">
      <text>
        <r>
          <rPr>
            <b/>
            <sz val="9"/>
            <color indexed="81"/>
            <rFont val="Tahoma"/>
            <family val="2"/>
          </rPr>
          <t>MHogan:</t>
        </r>
        <r>
          <rPr>
            <sz val="9"/>
            <color indexed="81"/>
            <rFont val="Tahoma"/>
            <family val="2"/>
          </rPr>
          <t xml:space="preserve">
If you are in multiple businesses, you can construct your own weighted averages using the industry average table from this spreadsheet and your company's business breakdown.</t>
        </r>
      </text>
    </comment>
    <comment ref="B8" authorId="0" shapeId="0" xr:uid="{C4953624-420F-419E-8152-397430D9D64C}">
      <text>
        <r>
          <rPr>
            <b/>
            <sz val="9"/>
            <color indexed="81"/>
            <rFont val="Tahoma"/>
            <family val="2"/>
          </rPr>
          <t>MHogan:</t>
        </r>
        <r>
          <rPr>
            <sz val="9"/>
            <color indexed="81"/>
            <rFont val="Tahoma"/>
            <family val="2"/>
          </rPr>
          <t xml:space="preserve">
Enter the revenues from the most recent period (you can either use annual or the trailing 12 months). If your company had no revenues, enter a very small positive number. (You need a base for your growth rate)</t>
        </r>
      </text>
    </comment>
    <comment ref="B9" authorId="0" shapeId="0" xr:uid="{789EA099-9A02-45F7-8CCC-D530EEDA60C5}">
      <text>
        <r>
          <rPr>
            <b/>
            <sz val="9"/>
            <color indexed="81"/>
            <rFont val="Tahoma"/>
            <family val="2"/>
          </rPr>
          <t>MHogan:</t>
        </r>
        <r>
          <rPr>
            <sz val="9"/>
            <color indexed="81"/>
            <rFont val="Tahoma"/>
            <family val="2"/>
          </rPr>
          <t xml:space="preserve">
Enter the operating income or EBIT from the most recent time period, even if that number is negative. If you have operating leases, enter the adjusted operating income (see the operating lease worksheet for the amount you have to adjust operating income by).</t>
        </r>
      </text>
    </comment>
    <comment ref="B11" authorId="0" shapeId="0" xr:uid="{26343086-80FA-421A-B0BB-0F692BC25C0A}">
      <text>
        <r>
          <rPr>
            <b/>
            <sz val="9"/>
            <color indexed="81"/>
            <rFont val="Tahoma"/>
            <family val="2"/>
          </rPr>
          <t>MHogan:</t>
        </r>
        <r>
          <rPr>
            <sz val="9"/>
            <color indexed="81"/>
            <rFont val="Tahoma"/>
            <family val="2"/>
          </rPr>
          <t xml:space="preserve">
Enter the book value of equity (total) from the end of the most recent time period (i.e. the most recent balance sheet). This book equity will include everything - paid in capital, retained earnings etc. and may even be negative for companies that have been losing money for a while.</t>
        </r>
      </text>
    </comment>
    <comment ref="B12" authorId="0" shapeId="0" xr:uid="{D126FD95-9A9D-492F-BA1B-8A6A762812BC}">
      <text>
        <r>
          <rPr>
            <b/>
            <sz val="9"/>
            <color indexed="81"/>
            <rFont val="Tahoma"/>
            <family val="2"/>
          </rPr>
          <t>MHogan:</t>
        </r>
        <r>
          <rPr>
            <sz val="9"/>
            <color indexed="81"/>
            <rFont val="Tahoma"/>
            <family val="2"/>
          </rPr>
          <t xml:space="preserve">
Enter the book value of interest bearing debt (short and long term) at your company from the most recent balance sheet. (Do not include accounts payable, supplier credit or other non-interest bearing liabilities.) </t>
        </r>
      </text>
    </comment>
    <comment ref="B15" authorId="0" shapeId="0" xr:uid="{E740315F-28A7-48FB-8E06-82FFCC6399FC}">
      <text>
        <r>
          <rPr>
            <b/>
            <sz val="9"/>
            <color indexed="81"/>
            <rFont val="Tahoma"/>
            <family val="2"/>
          </rPr>
          <t>MHogan:</t>
        </r>
        <r>
          <rPr>
            <sz val="9"/>
            <color indexed="81"/>
            <rFont val="Tahoma"/>
            <family val="2"/>
          </rPr>
          <t xml:space="preserve">
Enter the cash balance from the most recent balance sheet. This should include marketable securities.</t>
        </r>
      </text>
    </comment>
    <comment ref="F16" authorId="0" shapeId="0" xr:uid="{09327BCC-58FA-42D2-B7C0-0093FEB2A1B1}">
      <text>
        <r>
          <rPr>
            <b/>
            <sz val="9"/>
            <color indexed="81"/>
            <rFont val="Tahoma"/>
            <charset val="1"/>
          </rPr>
          <t>MHogan:</t>
        </r>
        <r>
          <rPr>
            <sz val="9"/>
            <color indexed="81"/>
            <rFont val="Tahoma"/>
            <charset val="1"/>
          </rPr>
          <t xml:space="preserve">
Under long-term liabilities: "postretirement medical benefits", "pension liability", "long-term employee related benefits"</t>
        </r>
      </text>
    </comment>
    <comment ref="B17" authorId="0" shapeId="0" xr:uid="{BE13F525-CFC0-4B96-9CC8-E8587479F471}">
      <text>
        <r>
          <rPr>
            <b/>
            <sz val="9"/>
            <color indexed="81"/>
            <rFont val="Tahoma"/>
            <family val="2"/>
          </rPr>
          <t>MHogan:</t>
        </r>
        <r>
          <rPr>
            <sz val="9"/>
            <color indexed="81"/>
            <rFont val="Tahoma"/>
            <family val="2"/>
          </rPr>
          <t xml:space="preserve">
Enter the "market" value of minority interests. This is a uniquely accounting item and will be on the liability side of your company's balance sheet. It reflects the requirement that if you own more than 50% of another company or have effective control of it, you have to consolidate that company's statements with yours. Thus, you count 100% of that subsidiaries assets, revenues and operating income with your company, even if you own only 60%. The minority interest reflects the book value of the 40% of the equity in the subsidiary that does not belong to you. Again, it is best if you can convert the book value to a market value by applying the price to book ratio for the sector in which the subsidiary operates</t>
        </r>
      </text>
    </comment>
    <comment ref="B18" authorId="0" shapeId="0" xr:uid="{0719EA5D-A4EB-4E38-83A8-27F3D3FFF613}">
      <text>
        <r>
          <rPr>
            <b/>
            <sz val="9"/>
            <color indexed="81"/>
            <rFont val="Tahoma"/>
            <family val="2"/>
          </rPr>
          <t>MHogan:</t>
        </r>
        <r>
          <rPr>
            <sz val="9"/>
            <color indexed="81"/>
            <rFont val="Tahoma"/>
            <family val="2"/>
          </rPr>
          <t xml:space="preserve">
Enter the most recent update you have on the number of shares. If you have different classes of shares, aggregate them all and enter one number. Count restricted stock units (RSUs) as shares but don't count shares underlying employee options.</t>
        </r>
      </text>
    </comment>
    <comment ref="B19" authorId="0" shapeId="0" xr:uid="{A078F73F-712D-4AD5-8EC8-E4072BFF4D0D}">
      <text>
        <r>
          <rPr>
            <b/>
            <sz val="9"/>
            <color indexed="81"/>
            <rFont val="Tahoma"/>
            <family val="2"/>
          </rPr>
          <t>MHogan:</t>
        </r>
        <r>
          <rPr>
            <sz val="9"/>
            <color indexed="81"/>
            <rFont val="Tahoma"/>
            <family val="2"/>
          </rPr>
          <t xml:space="preserve">
Enter the most recent stock price (how about today's?) in here. </t>
        </r>
      </text>
    </comment>
    <comment ref="B20" authorId="0" shapeId="0" xr:uid="{6BC22445-E26D-47EB-9960-637040CB973B}">
      <text>
        <r>
          <rPr>
            <b/>
            <sz val="9"/>
            <color indexed="81"/>
            <rFont val="Tahoma"/>
            <family val="2"/>
          </rPr>
          <t>MHogan:</t>
        </r>
        <r>
          <rPr>
            <sz val="9"/>
            <color indexed="81"/>
            <rFont val="Tahoma"/>
            <family val="2"/>
          </rPr>
          <t xml:space="preserve">
Enter your effective (not marginal) tax rate for your firm. You will find this in your company's annual report. If you cannot, you can compute it as follows, from the income statement:
Effective tax rate = Taxes paid/ Taxable income
If your effective tax rate varies across years, you can use an average.</t>
        </r>
      </text>
    </comment>
    <comment ref="B21" authorId="0" shapeId="0" xr:uid="{A63419DC-75BB-45C1-B84A-428C40FB685C}">
      <text>
        <r>
          <rPr>
            <b/>
            <sz val="9"/>
            <color indexed="81"/>
            <rFont val="Tahoma"/>
            <family val="2"/>
          </rPr>
          <t>MHogan:</t>
        </r>
        <r>
          <rPr>
            <sz val="9"/>
            <color indexed="81"/>
            <rFont val="Tahoma"/>
            <family val="2"/>
          </rPr>
          <t xml:space="preserve">
This is a statutory tax rate. I use the tax rate of the country the company is domiciled in. See worksheet embedded in this spreadshseet for country tax rates.
For companies that do business outside the US, use a slightly higher marginal tax rate, like 25%. If the company is 100% US, go for 21%. </t>
        </r>
      </text>
    </comment>
    <comment ref="B23" authorId="0" shapeId="0" xr:uid="{03109835-6BA3-4A92-9914-7E32243204A8}">
      <text>
        <r>
          <rPr>
            <b/>
            <sz val="9"/>
            <color indexed="81"/>
            <rFont val="Tahoma"/>
            <family val="2"/>
          </rPr>
          <t>MHogan:</t>
        </r>
        <r>
          <rPr>
            <sz val="9"/>
            <color indexed="81"/>
            <rFont val="Tahoma"/>
            <family val="2"/>
          </rPr>
          <t xml:space="preserve">
I don't have a crystal ball but you should look at 
a. Revenue growth in your company in recent years
b. Your company's revenues, relative to the overall market size and larger players in the sector. 
Suggestion: Check your revenues in year 10 against the overall market and see what market share are you giving your company. Check your company's revenues against other companies in the sector.
Note that this number can be negative for a declining firm.</t>
        </r>
      </text>
    </comment>
    <comment ref="B24" authorId="0" shapeId="0" xr:uid="{966D6AB2-1730-450D-9B3D-4AA4A68BBC4E}">
      <text>
        <r>
          <rPr>
            <b/>
            <sz val="9"/>
            <color indexed="81"/>
            <rFont val="Tahoma"/>
            <family val="2"/>
          </rPr>
          <t>MHogan:</t>
        </r>
        <r>
          <rPr>
            <sz val="9"/>
            <color indexed="81"/>
            <rFont val="Tahoma"/>
            <family val="2"/>
          </rPr>
          <t xml:space="preserve">
You should start by looking at your company's current pre-tax operating margin  but also look at the average for your industry. (You can check my estimates of industry averages in the last worksheet on this spreadsheet.) </t>
        </r>
      </text>
    </comment>
    <comment ref="B25" authorId="0" shapeId="0" xr:uid="{EBFA15C1-B1E0-4C5B-8D11-A4F142984C5F}">
      <text>
        <r>
          <rPr>
            <b/>
            <sz val="9"/>
            <color indexed="81"/>
            <rFont val="Tahoma"/>
            <family val="2"/>
          </rPr>
          <t>MHogan:</t>
        </r>
        <r>
          <rPr>
            <sz val="9"/>
            <color indexed="81"/>
            <rFont val="Tahoma"/>
            <family val="2"/>
          </rPr>
          <t xml:space="preserve">
You are probably wondering what this is but it is how I compute how much you are going to reinvest to keep your business growing in future years. The higher you set this number, the more efficiently you are growing and the higher the value of your growth. Again, look at your company's current number (divide cell B3 by the sum of cells B5 and B6). Look at the industry averages as well in the worksheet.
The spreadsheet takes the change of revenues and divides by the Sales/capital ratio
It says, I really don't where specifically the company will invest (capex, R&amp;D, acquisitions), but it still has to invest to grow
A negative reinvestment rate means you are shrinking the company. In some cases, growing can just further destroy value. (Returns on capital &lt; Costs of capital). Management can be in denial.</t>
        </r>
      </text>
    </comment>
    <comment ref="B27" authorId="0" shapeId="0" xr:uid="{E3DFAA00-EC8D-465D-90D2-A49C7055179B}">
      <text>
        <r>
          <rPr>
            <b/>
            <sz val="9"/>
            <color indexed="81"/>
            <rFont val="Tahoma"/>
            <family val="2"/>
          </rPr>
          <t>MHogan:</t>
        </r>
        <r>
          <rPr>
            <sz val="9"/>
            <color indexed="81"/>
            <rFont val="Tahoma"/>
            <family val="2"/>
          </rPr>
          <t xml:space="preserve">
This should be today's long term riskfree rate. If you are working with a currency where the government has default risk, clean up the government bond rate to make it riskfree (by subtracting the default spread for the government).</t>
        </r>
      </text>
    </comment>
    <comment ref="B28" authorId="0" shapeId="0" xr:uid="{8AC45BEF-2621-48CD-954F-1FE36189D70C}">
      <text>
        <r>
          <rPr>
            <b/>
            <sz val="9"/>
            <color indexed="81"/>
            <rFont val="Tahoma"/>
            <family val="2"/>
          </rPr>
          <t>MHogan:</t>
        </r>
        <r>
          <rPr>
            <sz val="9"/>
            <color indexed="81"/>
            <rFont val="Tahoma"/>
            <family val="2"/>
          </rPr>
          <t xml:space="preserve">
Enter the current cost of capital for your firm. If you don't know what it is, you can use the worksheet to compute it.
CoC is typically high for younger companies and declines as the company grows</t>
        </r>
      </text>
    </comment>
    <comment ref="I30" authorId="0" shapeId="0" xr:uid="{0B13874E-2F82-4EC0-BD26-20270162F564}">
      <text>
        <r>
          <rPr>
            <b/>
            <sz val="9"/>
            <color indexed="81"/>
            <rFont val="Tahoma"/>
            <family val="2"/>
          </rPr>
          <t>MHogan:</t>
        </r>
        <r>
          <rPr>
            <sz val="9"/>
            <color indexed="81"/>
            <rFont val="Tahoma"/>
            <family val="2"/>
          </rPr>
          <t xml:space="preserve">
Compare to your total market and check your market share.</t>
        </r>
      </text>
    </comment>
    <comment ref="B31" authorId="0" shapeId="0" xr:uid="{C74F8239-AD82-48D0-BC26-B5CDD360BB2C}">
      <text>
        <r>
          <rPr>
            <b/>
            <sz val="9"/>
            <color indexed="81"/>
            <rFont val="Tahoma"/>
            <family val="2"/>
          </rPr>
          <t>MHogan:</t>
        </r>
        <r>
          <rPr>
            <sz val="9"/>
            <color indexed="81"/>
            <rFont val="Tahoma"/>
            <family val="2"/>
          </rPr>
          <t xml:space="preserve">
Check your company's annual report or 10K. If it does have options outstanding, enter the total number here (vested and non vested, in the money and out…)</t>
        </r>
      </text>
    </comment>
    <comment ref="B32" authorId="0" shapeId="0" xr:uid="{CD196854-B550-480E-ABBC-025FDDC0CAA2}">
      <text>
        <r>
          <rPr>
            <b/>
            <sz val="9"/>
            <color indexed="81"/>
            <rFont val="Tahoma"/>
            <family val="2"/>
          </rPr>
          <t>MHogan:</t>
        </r>
        <r>
          <rPr>
            <sz val="9"/>
            <color indexed="81"/>
            <rFont val="Tahoma"/>
            <family val="2"/>
          </rPr>
          <t xml:space="preserve">
Enter the weighted average strike price of your options. (Should be in your 10K or annual report.)</t>
        </r>
      </text>
    </comment>
    <comment ref="I32" authorId="0" shapeId="0" xr:uid="{D16C6FE7-CFF5-4A19-99DA-3BC464B9487E}">
      <text>
        <r>
          <rPr>
            <b/>
            <sz val="9"/>
            <color indexed="81"/>
            <rFont val="Tahoma"/>
            <family val="2"/>
          </rPr>
          <t>MHogan:</t>
        </r>
        <r>
          <rPr>
            <sz val="9"/>
            <color indexed="81"/>
            <rFont val="Tahoma"/>
            <family val="2"/>
          </rPr>
          <t xml:space="preserve">
Function of both your target margin and your sales to capital ratio.
Compare this return on capital in year 10 against
a.  the industry average(column E of worksheet)
b. the return on capital after year 10
If it is too high (low), you may want to lower  (raise) your sales to capital ratio
</t>
        </r>
      </text>
    </comment>
    <comment ref="B33" authorId="0" shapeId="0" xr:uid="{BF5ACA5B-AA2F-490E-9AA4-B226113E5A67}">
      <text>
        <r>
          <rPr>
            <b/>
            <sz val="9"/>
            <color indexed="81"/>
            <rFont val="Tahoma"/>
            <family val="2"/>
          </rPr>
          <t>MHogan:</t>
        </r>
        <r>
          <rPr>
            <sz val="9"/>
            <color indexed="81"/>
            <rFont val="Tahoma"/>
            <family val="2"/>
          </rPr>
          <t xml:space="preserve">
The weighted average maturity of your options should be reported in your financial statements</t>
        </r>
      </text>
    </comment>
    <comment ref="B34" authorId="0" shapeId="0" xr:uid="{770DD72E-3895-4F53-BBD4-5FCAD83907C5}">
      <text>
        <r>
          <rPr>
            <b/>
            <sz val="9"/>
            <color indexed="81"/>
            <rFont val="Tahoma"/>
            <family val="2"/>
          </rPr>
          <t>MHogan:</t>
        </r>
        <r>
          <rPr>
            <sz val="9"/>
            <color indexed="81"/>
            <rFont val="Tahoma"/>
            <family val="2"/>
          </rPr>
          <t xml:space="preserve">
If you have a standard deviation for your stock, enter that number. If not, use the industry average standard deviation from the worksheet.</t>
        </r>
      </text>
    </comment>
    <comment ref="B38" authorId="0" shapeId="0" xr:uid="{29FDD8C9-706C-4928-A22C-3E8D5911B121}">
      <text>
        <r>
          <rPr>
            <b/>
            <sz val="9"/>
            <color indexed="81"/>
            <rFont val="Tahoma"/>
            <family val="2"/>
          </rPr>
          <t>MHogan:</t>
        </r>
        <r>
          <rPr>
            <sz val="9"/>
            <color indexed="81"/>
            <rFont val="Tahoma"/>
            <family val="2"/>
          </rPr>
          <t xml:space="preserve">
Mature companies tend to have costs of capital closer to the market average. While the riskfree rate + 4.5% is a close approximation of the average, you can use a slightly higher number (riskfree rate + 6%) for mature companies in riskier businesses and a slightly lower number (risfree rate + 4%) for safer companies.</t>
        </r>
      </text>
    </comment>
    <comment ref="B41" authorId="0" shapeId="0" xr:uid="{5C7B089C-116B-42DA-9B54-52D1B61840FC}">
      <text>
        <r>
          <rPr>
            <b/>
            <sz val="9"/>
            <color indexed="81"/>
            <rFont val="Tahoma"/>
            <family val="2"/>
          </rPr>
          <t>MHogan:</t>
        </r>
        <r>
          <rPr>
            <sz val="9"/>
            <color indexed="81"/>
            <rFont val="Tahoma"/>
            <family val="2"/>
          </rPr>
          <t xml:space="preserve">
The default assumption is that competitive advantages will fade to zero over time. While this is a good assumption for many firms (about 7 in 10), there are some firms with sustainable competitive advantages (brand name, for instance), where the excess returns may continue beyond year 10. If your firm is one of those, you can enter a return on capital higher than your cost of capital in the cell below. Just don't get carried away. At the maximum, the excess return should not exceed 5% for a mature firm.</t>
        </r>
      </text>
    </comment>
    <comment ref="B42" authorId="0" shapeId="0" xr:uid="{21B9F635-5076-408B-AA4C-AC2DCF2AFE12}">
      <text>
        <r>
          <rPr>
            <b/>
            <sz val="9"/>
            <color indexed="81"/>
            <rFont val="Tahoma"/>
            <family val="2"/>
          </rPr>
          <t>MHogan:</t>
        </r>
        <r>
          <rPr>
            <sz val="9"/>
            <color indexed="81"/>
            <rFont val="Tahoma"/>
            <family val="2"/>
          </rPr>
          <t xml:space="preserve">
Even if you believe your firm has significant competitive advantages, don't set this number to more than 5% more than your cost of capital. </t>
        </r>
      </text>
    </comment>
    <comment ref="B44" authorId="0" shapeId="0" xr:uid="{36E6B8A2-F91A-41DA-92B2-84CFAA7C89E5}">
      <text>
        <r>
          <rPr>
            <b/>
            <sz val="9"/>
            <color indexed="81"/>
            <rFont val="Tahoma"/>
            <family val="2"/>
          </rPr>
          <t>MHogan:</t>
        </r>
        <r>
          <rPr>
            <sz val="9"/>
            <color indexed="81"/>
            <rFont val="Tahoma"/>
            <family val="2"/>
          </rPr>
          <t xml:space="preserve">
Companies at either end of the life cycle - young, growth and old, declining firms have a significant likelihood of failure. While we tend to ignore this in conventional DCF, it is worth thinking about whether you want to estimate a probability of failure. It is not easy to do but it can be done by looking at either history (with young, growth companies) or the debt market (with distressed companies).</t>
        </r>
      </text>
    </comment>
    <comment ref="B45" authorId="0" shapeId="0" xr:uid="{FD509DA3-DB9E-4B83-AAF8-C36EEAC49E2C}">
      <text>
        <r>
          <rPr>
            <b/>
            <sz val="9"/>
            <color indexed="81"/>
            <rFont val="Tahoma"/>
            <family val="2"/>
          </rPr>
          <t>MHogan:</t>
        </r>
        <r>
          <rPr>
            <sz val="9"/>
            <color indexed="81"/>
            <rFont val="Tahoma"/>
            <family val="2"/>
          </rPr>
          <t xml:space="preserve">
If you want to look at ways of estimating this probability, try these papers I have on the topic:
For young growth companies: http://papers.ssrn.com/sol3/papers.cfm?abstract_id=1418687  
For declining, distressed companies: http://papers.ssrn.com/sol3/papers.cfm?abstract_id=1428022 </t>
        </r>
      </text>
    </comment>
    <comment ref="B46" authorId="0" shapeId="0" xr:uid="{8E784687-012C-4277-A45A-BB2BD72E855A}">
      <text>
        <r>
          <rPr>
            <b/>
            <sz val="9"/>
            <color indexed="81"/>
            <rFont val="Tahoma"/>
            <family val="2"/>
          </rPr>
          <t>MHogan:</t>
        </r>
        <r>
          <rPr>
            <sz val="9"/>
            <color indexed="81"/>
            <rFont val="Tahoma"/>
            <family val="2"/>
          </rPr>
          <t xml:space="preserve">
If the firm fail and has to liquidate its assets, you need to specify what the liquidation proceeds will be tied to. For young growth companies, I would tie it to value and with distressed firms (especially ones with significant assets in place), I would use book value.</t>
        </r>
      </text>
    </comment>
    <comment ref="B47" authorId="0" shapeId="0" xr:uid="{23CCCA57-4719-4BBA-A037-D9CF384C3C06}">
      <text>
        <r>
          <rPr>
            <b/>
            <sz val="9"/>
            <color indexed="81"/>
            <rFont val="Tahoma"/>
            <family val="2"/>
          </rPr>
          <t>MHogan:</t>
        </r>
        <r>
          <rPr>
            <sz val="9"/>
            <color indexed="81"/>
            <rFont val="Tahoma"/>
            <family val="2"/>
          </rPr>
          <t xml:space="preserve">
You will generally not get 100% of fair value. How much less than 100% you get will depend on whether there are lots of potential buyers for your assets and how much of a hurry you are in to liquidate. It may well be zero for a young growth company with no tangible assets.</t>
        </r>
      </text>
    </comment>
    <comment ref="B49" authorId="0" shapeId="0" xr:uid="{8CCAF460-C846-4B35-9425-07E3865A8A4D}">
      <text>
        <r>
          <rPr>
            <b/>
            <sz val="9"/>
            <color indexed="81"/>
            <rFont val="Tahoma"/>
            <family val="2"/>
          </rPr>
          <t>MHogan:</t>
        </r>
        <r>
          <rPr>
            <sz val="9"/>
            <color indexed="81"/>
            <rFont val="Tahoma"/>
            <family val="2"/>
          </rPr>
          <t xml:space="preserve">
Companies generally pay less than the marginal tax rate on their income. Some of that is due to tax deferral and others to quirks in the tax law. Over time, the conservative assumption is to require the tax rate to move towards the marginal tax rate. However, if you believe that your firm's tax benefits are permanent, you can override this assumption.</t>
        </r>
      </text>
    </comment>
    <comment ref="B52" authorId="0" shapeId="0" xr:uid="{31AA36D0-7450-407C-934C-CBAB82E861DB}">
      <text>
        <r>
          <rPr>
            <b/>
            <sz val="9"/>
            <color indexed="81"/>
            <rFont val="Tahoma"/>
            <family val="2"/>
          </rPr>
          <t>MHogan:</t>
        </r>
        <r>
          <rPr>
            <sz val="9"/>
            <color indexed="81"/>
            <rFont val="Tahoma"/>
            <family val="2"/>
          </rPr>
          <t xml:space="preserve">
This is the NOL from prior years carried forward into this year.</t>
        </r>
      </text>
    </comment>
    <comment ref="B55" authorId="0" shapeId="0" xr:uid="{1E637A27-1498-4F11-A9C4-43DC4375EB03}">
      <text>
        <r>
          <rPr>
            <b/>
            <sz val="9"/>
            <color indexed="81"/>
            <rFont val="Tahoma"/>
            <family val="2"/>
          </rPr>
          <t>MHogan:</t>
        </r>
        <r>
          <rPr>
            <sz val="9"/>
            <color indexed="81"/>
            <rFont val="Tahoma"/>
            <family val="2"/>
          </rPr>
          <t xml:space="preserve">
If your concern is that a portion of the cash is trapped in foreign markets and will be subject to tax, when returned, enter the trapped cash balance. If you feel that the entire cash balance is being discounted because markets don't trust managers, enter the entire cash balance.</t>
        </r>
      </text>
    </comment>
    <comment ref="B56" authorId="0" shapeId="0" xr:uid="{E4B45056-C0F3-482B-876D-753A3EFCDB36}">
      <text>
        <r>
          <rPr>
            <b/>
            <sz val="9"/>
            <color indexed="81"/>
            <rFont val="Tahoma"/>
            <family val="2"/>
          </rPr>
          <t>MHogan:</t>
        </r>
        <r>
          <rPr>
            <sz val="9"/>
            <color indexed="81"/>
            <rFont val="Tahoma"/>
            <family val="2"/>
          </rPr>
          <t xml:space="preserve">
This is the additional tax due, if the cash is trapped cash. If your concern is that all cash is being discounted by the market because of management mistrust, enter the percentage discount to apply to cash.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B1" authorId="0" shapeId="0" xr:uid="{A7362E3E-0E5B-4BBE-9D1A-07D0F178836C}">
      <text>
        <r>
          <rPr>
            <b/>
            <sz val="9"/>
            <color indexed="81"/>
            <rFont val="Tahoma"/>
            <family val="2"/>
          </rPr>
          <t>MHogan:</t>
        </r>
        <r>
          <rPr>
            <sz val="9"/>
            <color indexed="81"/>
            <rFont val="Tahoma"/>
            <family val="2"/>
          </rPr>
          <t xml:space="preserve">
Tr 12 mths</t>
        </r>
      </text>
    </comment>
    <comment ref="N5" authorId="0" shapeId="0" xr:uid="{DF6186F7-CED1-4198-BE2E-F6B7F1D37822}">
      <text>
        <r>
          <rPr>
            <b/>
            <sz val="9"/>
            <color indexed="81"/>
            <rFont val="Tahoma"/>
            <charset val="1"/>
          </rPr>
          <t>MHogan:</t>
        </r>
        <r>
          <rPr>
            <sz val="9"/>
            <color indexed="81"/>
            <rFont val="Tahoma"/>
            <charset val="1"/>
          </rPr>
          <t xml:space="preserve">
This is is how much your operating income grew over the ten-year period.
</t>
        </r>
      </text>
    </comment>
    <comment ref="N8" authorId="0" shapeId="0" xr:uid="{89FF021A-6F32-46C0-81D0-5E60C42AD5C5}">
      <text>
        <r>
          <rPr>
            <b/>
            <sz val="9"/>
            <color indexed="81"/>
            <rFont val="Tahoma"/>
            <charset val="1"/>
          </rPr>
          <t>MHogan:</t>
        </r>
        <r>
          <rPr>
            <sz val="9"/>
            <color indexed="81"/>
            <rFont val="Tahoma"/>
            <charset val="1"/>
          </rPr>
          <t xml:space="preserve">
This is how much capital you invested over the ten year period. 
</t>
        </r>
      </text>
    </comment>
    <comment ref="L40" authorId="0" shapeId="0" xr:uid="{3F32FED0-2BB9-4E48-BAD3-6AB0B6CE069A}">
      <text>
        <r>
          <rPr>
            <b/>
            <sz val="9"/>
            <color indexed="81"/>
            <rFont val="Tahoma"/>
            <family val="2"/>
          </rPr>
          <t>MHogan:</t>
        </r>
        <r>
          <rPr>
            <sz val="9"/>
            <color indexed="81"/>
            <rFont val="Tahoma"/>
            <family val="2"/>
          </rPr>
          <t xml:space="preserve">
Don't forget to pay for growth. If this number is too high, make sure to reduce the Sales to capital ratio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A1" authorId="0" shapeId="0" xr:uid="{B6CA5910-5132-40D5-ADF6-9476173A3554}">
      <text>
        <r>
          <rPr>
            <b/>
            <sz val="9"/>
            <color indexed="81"/>
            <rFont val="Tahoma"/>
            <family val="2"/>
          </rPr>
          <t>MHogan:</t>
        </r>
        <r>
          <rPr>
            <sz val="9"/>
            <color indexed="81"/>
            <rFont val="Tahoma"/>
            <family val="2"/>
          </rPr>
          <t xml:space="preserve">
Capitalizing R&amp;D is not always going to increase the value of the stock. Take AMGN and MRK for example, when making the R&amp;D adjustment for AMGN, the value of the stock rises significantly. For Merck, it is the opposite 
Why?
Amgen earns a much higher return on capital in R&amp;D than Merck. Just looking at Net Income hides this fact. "Beauty and the Beast". You were wasting money. "Take the mask off". 
It is not necessarily bad R&amp;D that leads to this, it is just the risks of pharma companies and the long R&amp;D process. </t>
        </r>
      </text>
    </comment>
    <comment ref="F6" authorId="0" shapeId="0" xr:uid="{62C3B3C4-3969-4BCF-A48F-F09149438E80}">
      <text>
        <r>
          <rPr>
            <b/>
            <sz val="9"/>
            <color indexed="81"/>
            <rFont val="Tahoma"/>
            <family val="2"/>
          </rPr>
          <t>MHogan:</t>
        </r>
        <r>
          <rPr>
            <sz val="9"/>
            <color indexed="81"/>
            <rFont val="Tahoma"/>
            <family val="2"/>
          </rPr>
          <t xml:space="preserve">
How long do you assume the life of the R&amp;D to be? For a pharma company, it does R&amp;D one year and won't see the benefits from it sometimes for 10, 15, 20 years. 
For a mobile phone company, the products cycles are much shorter, sometimes only 1, 2, 3 years. 
R&amp;D is for long-term growth, and while it is uncertain, so is building plants or buying land for manufacturing firms. Tech and Pharma companies may be having its earnings understated because of how R&amp;D is accounted for. </t>
        </r>
      </text>
    </comment>
    <comment ref="D40" authorId="0" shapeId="0" xr:uid="{BE55B508-67DE-46F4-9EE7-F98A13F54C36}">
      <text>
        <r>
          <rPr>
            <b/>
            <sz val="9"/>
            <color indexed="81"/>
            <rFont val="Tahoma"/>
            <family val="2"/>
          </rPr>
          <t>MHogan:</t>
        </r>
        <r>
          <rPr>
            <sz val="9"/>
            <color indexed="81"/>
            <rFont val="Tahoma"/>
            <family val="2"/>
          </rPr>
          <t xml:space="preserve">
By expensing R&amp;D rather than capitalizing it, the firm gets a tax benefit. This is the dollar value of that tax benefit.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A22" authorId="0" shapeId="0" xr:uid="{7A60021C-EE5A-4705-AD82-3ED481C260DD}">
      <text>
        <r>
          <rPr>
            <b/>
            <sz val="9"/>
            <color indexed="81"/>
            <rFont val="Tahoma"/>
            <family val="2"/>
          </rPr>
          <t>MHogan:</t>
        </r>
        <r>
          <rPr>
            <sz val="9"/>
            <color indexed="81"/>
            <rFont val="Tahoma"/>
            <family val="2"/>
          </rPr>
          <t xml:space="preserve">
(Enter 1 if large manufacturing firm, 2 if smaller or riskier firm, 3 if financial service firm). 
Small &lt; $5 bil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D148" authorId="0" shapeId="0" xr:uid="{C4F8D6AE-58E6-48DF-A4E7-F7AC7F850FFA}">
      <text>
        <r>
          <rPr>
            <b/>
            <sz val="9"/>
            <color indexed="81"/>
            <rFont val="Tahoma"/>
            <charset val="1"/>
          </rPr>
          <t>MHogan:</t>
        </r>
        <r>
          <rPr>
            <sz val="9"/>
            <color indexed="81"/>
            <rFont val="Tahoma"/>
            <charset val="1"/>
          </rPr>
          <t xml:space="preserve">
This is the estimate for the ERP for a mature market, that then updates all of the ERP for other countries by adding the CRP to it. I update the ERP for the S&amp;P 500 at the start of every month on my website (damodaran.com) and if you want, you can change this number to ther most recent update.</t>
        </r>
      </text>
    </comment>
  </commentList>
</comments>
</file>

<file path=xl/sharedStrings.xml><?xml version="1.0" encoding="utf-8"?>
<sst xmlns="http://schemas.openxmlformats.org/spreadsheetml/2006/main" count="1491" uniqueCount="678">
  <si>
    <t>Date of valuation</t>
  </si>
  <si>
    <t>Company name</t>
  </si>
  <si>
    <t>Country of incorporation</t>
  </si>
  <si>
    <t>Industry (US)</t>
  </si>
  <si>
    <t>Industry (Global)</t>
  </si>
  <si>
    <t>Revenues</t>
  </si>
  <si>
    <t>Operating income or EBIT</t>
  </si>
  <si>
    <t>Interest expense</t>
  </si>
  <si>
    <t>Book value of equity</t>
  </si>
  <si>
    <t>Book value of debt</t>
  </si>
  <si>
    <t>Do you have R&amp;D expenses to capitalize?</t>
  </si>
  <si>
    <t>Do you have operating lease commitments?</t>
  </si>
  <si>
    <t>Cash and Marketable Securities</t>
  </si>
  <si>
    <t>Cross holdings and other non-operating assets</t>
  </si>
  <si>
    <t>Minority interests</t>
  </si>
  <si>
    <t>Number of shares outstanding =</t>
  </si>
  <si>
    <t>Current stock price =</t>
  </si>
  <si>
    <t>Effective tax rate =</t>
  </si>
  <si>
    <t>Marginal tax rate =</t>
  </si>
  <si>
    <t>The value drivers below:</t>
  </si>
  <si>
    <t>Compounded annual revenue growth rate over next 5 years =</t>
  </si>
  <si>
    <t>Target pre-tax operating margin (EBIT as % of sales in year 10) =</t>
  </si>
  <si>
    <t>Sales to capital ratio  (for computing reinvestment) =</t>
  </si>
  <si>
    <t xml:space="preserve">Market numbers </t>
  </si>
  <si>
    <t>Riskfree rate</t>
    <phoneticPr fontId="0" type="noConversion"/>
  </si>
  <si>
    <t>Initial cost of capital =</t>
  </si>
  <si>
    <t>Other inputs</t>
  </si>
  <si>
    <t>Do you have employee options outstanding?</t>
  </si>
  <si>
    <t>Number of options outstanding =</t>
  </si>
  <si>
    <t>Average strike price =</t>
  </si>
  <si>
    <t>Average maturity =</t>
  </si>
  <si>
    <t>Standard deviation on stock price =</t>
  </si>
  <si>
    <t>Numbers from your base year below (in consistent units)</t>
  </si>
  <si>
    <t>This year</t>
  </si>
  <si>
    <t>Last year</t>
  </si>
  <si>
    <t>Country</t>
  </si>
  <si>
    <t>Region</t>
  </si>
  <si>
    <t>Abu Dhabi</t>
  </si>
  <si>
    <t>Middle East</t>
  </si>
  <si>
    <t>Albania</t>
  </si>
  <si>
    <t>Eastern Europe &amp; Russia</t>
  </si>
  <si>
    <t>Andorra</t>
  </si>
  <si>
    <t>Western Europe</t>
  </si>
  <si>
    <t>Angola</t>
  </si>
  <si>
    <t>Africa</t>
  </si>
  <si>
    <t>Argentina</t>
  </si>
  <si>
    <t>Central and South America</t>
  </si>
  <si>
    <t>Armenia</t>
  </si>
  <si>
    <t>Aruba</t>
  </si>
  <si>
    <t>Caribbean</t>
  </si>
  <si>
    <t>Australia</t>
  </si>
  <si>
    <t>Australia &amp; New Zealand</t>
  </si>
  <si>
    <t>Austria</t>
  </si>
  <si>
    <t>Azerbaijan</t>
  </si>
  <si>
    <t>Bahamas</t>
  </si>
  <si>
    <t>Bahrain</t>
  </si>
  <si>
    <t>Bangladesh</t>
  </si>
  <si>
    <t>Asia</t>
  </si>
  <si>
    <t>Barbados</t>
  </si>
  <si>
    <t>Belarus</t>
  </si>
  <si>
    <t>Belgium</t>
  </si>
  <si>
    <t>Belize</t>
  </si>
  <si>
    <t>Benin</t>
  </si>
  <si>
    <t>Bermuda</t>
  </si>
  <si>
    <t>Bolivia</t>
  </si>
  <si>
    <t>Bosnia and Herzegovina</t>
  </si>
  <si>
    <t>Botswana</t>
  </si>
  <si>
    <t>Brazil</t>
  </si>
  <si>
    <t>Bulgaria</t>
  </si>
  <si>
    <t>Burkina Faso</t>
  </si>
  <si>
    <t>Cambodia</t>
  </si>
  <si>
    <t>Cameroon</t>
  </si>
  <si>
    <t>Canada</t>
  </si>
  <si>
    <t>North America</t>
  </si>
  <si>
    <t>Cape Verde</t>
  </si>
  <si>
    <t>Cayman Islands</t>
  </si>
  <si>
    <t>Chile</t>
  </si>
  <si>
    <t>China</t>
  </si>
  <si>
    <t>Colombia</t>
  </si>
  <si>
    <t>Congo (Democratic Republic of)</t>
  </si>
  <si>
    <t>Congo (Republic of)</t>
  </si>
  <si>
    <t>Cook Islands</t>
  </si>
  <si>
    <t>Costa Rica</t>
  </si>
  <si>
    <t>Côte d'Ivoire</t>
  </si>
  <si>
    <t>Croatia</t>
  </si>
  <si>
    <t>Cuba</t>
  </si>
  <si>
    <t>Curacao</t>
  </si>
  <si>
    <t>Cyprus</t>
  </si>
  <si>
    <t>Czech Republic</t>
  </si>
  <si>
    <t>Democratic Republic of Congo</t>
  </si>
  <si>
    <t>Denmark</t>
  </si>
  <si>
    <t>Dominican Republic</t>
  </si>
  <si>
    <t>Ecuador</t>
  </si>
  <si>
    <t>Egypt</t>
  </si>
  <si>
    <t>El Salvador</t>
  </si>
  <si>
    <t>Estonia</t>
  </si>
  <si>
    <t>Ethiopia</t>
  </si>
  <si>
    <t>Fiji</t>
  </si>
  <si>
    <t>Finland</t>
  </si>
  <si>
    <t>France</t>
  </si>
  <si>
    <t>Gabon</t>
  </si>
  <si>
    <t>Georgia</t>
  </si>
  <si>
    <t>Germany</t>
  </si>
  <si>
    <t>Ghana</t>
  </si>
  <si>
    <t>Greece</t>
  </si>
  <si>
    <t>Guatemala</t>
  </si>
  <si>
    <t>Guernsey (States of)</t>
  </si>
  <si>
    <t>Honduras</t>
  </si>
  <si>
    <t>Hong Kong</t>
  </si>
  <si>
    <t>Hungary</t>
  </si>
  <si>
    <t>Iceland</t>
  </si>
  <si>
    <t>India</t>
  </si>
  <si>
    <t>Indonesia</t>
  </si>
  <si>
    <t>Iraq</t>
  </si>
  <si>
    <t>Ireland</t>
  </si>
  <si>
    <t>Isle of Man</t>
  </si>
  <si>
    <t>Israel</t>
  </si>
  <si>
    <t>Italy</t>
  </si>
  <si>
    <t>Jamaica</t>
  </si>
  <si>
    <t>Japan</t>
  </si>
  <si>
    <t>Jersey (States of)</t>
  </si>
  <si>
    <t>Jordan</t>
  </si>
  <si>
    <t>Kazakhstan</t>
  </si>
  <si>
    <t>Kenya</t>
  </si>
  <si>
    <t>Korea</t>
  </si>
  <si>
    <t>Kuwait</t>
  </si>
  <si>
    <t>Kyrgyzstan</t>
  </si>
  <si>
    <t>Latvia</t>
  </si>
  <si>
    <t>Lebanon</t>
  </si>
  <si>
    <t>Liechtenstein</t>
  </si>
  <si>
    <t>Lithuania</t>
  </si>
  <si>
    <t>Luxembourg</t>
  </si>
  <si>
    <t>Macao</t>
  </si>
  <si>
    <t>Macedonia</t>
  </si>
  <si>
    <t>Malaysia</t>
  </si>
  <si>
    <t>Malta</t>
  </si>
  <si>
    <t>Mauritius</t>
  </si>
  <si>
    <t>Mexico</t>
  </si>
  <si>
    <t>Moldova</t>
  </si>
  <si>
    <t>Mongolia</t>
  </si>
  <si>
    <t>Montenegro</t>
  </si>
  <si>
    <t>Montserrat</t>
  </si>
  <si>
    <t>Morocco</t>
  </si>
  <si>
    <t>Mozambique</t>
  </si>
  <si>
    <t>Namibia</t>
  </si>
  <si>
    <t>Netherlands</t>
  </si>
  <si>
    <t>New Zealand</t>
  </si>
  <si>
    <t>Nicaragua</t>
  </si>
  <si>
    <t>Nigeria</t>
  </si>
  <si>
    <t>Norway</t>
  </si>
  <si>
    <t>Oman</t>
  </si>
  <si>
    <t>Pakistan</t>
  </si>
  <si>
    <t>Panama</t>
  </si>
  <si>
    <t>Papua New Guinea</t>
  </si>
  <si>
    <t>Paraguay</t>
  </si>
  <si>
    <t>Peru</t>
  </si>
  <si>
    <t>Philippines</t>
  </si>
  <si>
    <t>Poland</t>
  </si>
  <si>
    <t>Portugal</t>
  </si>
  <si>
    <t>Qatar</t>
  </si>
  <si>
    <t>Ras Al Kaminah</t>
  </si>
  <si>
    <t>Republic of the Congo</t>
  </si>
  <si>
    <t>Romania</t>
  </si>
  <si>
    <t>Russia</t>
  </si>
  <si>
    <t>Rwanda</t>
  </si>
  <si>
    <t>Saudi Arabia</t>
  </si>
  <si>
    <t>Senegal</t>
  </si>
  <si>
    <t>Serbia</t>
  </si>
  <si>
    <t>Sharjah</t>
  </si>
  <si>
    <t>Singapore</t>
  </si>
  <si>
    <t>Slovakia</t>
  </si>
  <si>
    <t>Slovenia</t>
  </si>
  <si>
    <t>South Africa</t>
  </si>
  <si>
    <t>Spain</t>
  </si>
  <si>
    <t>Sri Lanka</t>
  </si>
  <si>
    <t>St. Maarten</t>
  </si>
  <si>
    <t>St. Vincent &amp; the Grenadines</t>
  </si>
  <si>
    <t>Suriname</t>
  </si>
  <si>
    <t>Swaziland</t>
  </si>
  <si>
    <t>Sweden</t>
  </si>
  <si>
    <t>Switzerland</t>
  </si>
  <si>
    <t>Taiwan</t>
  </si>
  <si>
    <t>Tajikistan</t>
  </si>
  <si>
    <t>Thailand</t>
  </si>
  <si>
    <t>Trinidad and Tobago</t>
  </si>
  <si>
    <t>Tunisia</t>
  </si>
  <si>
    <t>Turkey</t>
  </si>
  <si>
    <t>Turkmenistan</t>
  </si>
  <si>
    <t>Turks and Caicos</t>
  </si>
  <si>
    <t>Uganda</t>
  </si>
  <si>
    <t>Ukraine</t>
  </si>
  <si>
    <t>United Arab Emirates</t>
  </si>
  <si>
    <t>United Kingdom</t>
  </si>
  <si>
    <t>United States</t>
  </si>
  <si>
    <t>Uruguay</t>
  </si>
  <si>
    <t>Venezuela</t>
  </si>
  <si>
    <t>Vietnam</t>
  </si>
  <si>
    <t>Zambia</t>
  </si>
  <si>
    <t>Industry Name</t>
  </si>
  <si>
    <t>Advertising</t>
  </si>
  <si>
    <t>Aerospace/Defense</t>
  </si>
  <si>
    <t>Air Transport</t>
  </si>
  <si>
    <t>Apparel</t>
  </si>
  <si>
    <t>Auto &amp; Truck</t>
  </si>
  <si>
    <t>Auto Parts</t>
  </si>
  <si>
    <t>Bank (Money Center)</t>
  </si>
  <si>
    <t>Banks (Regional)</t>
  </si>
  <si>
    <t>Beverage (Alcoholic)</t>
  </si>
  <si>
    <t>Beverage (Soft)</t>
  </si>
  <si>
    <t>Broadcasting</t>
  </si>
  <si>
    <t>Brokerage &amp; Investment Banking</t>
  </si>
  <si>
    <t>Building Materials</t>
  </si>
  <si>
    <t>Business &amp; Consumer Services</t>
  </si>
  <si>
    <t>Cable TV</t>
  </si>
  <si>
    <t>Chemical (Basic)</t>
  </si>
  <si>
    <t>Chemical (Diversified)</t>
  </si>
  <si>
    <t>Chemical (Specialty)</t>
  </si>
  <si>
    <t>Coal &amp; Related Energy</t>
  </si>
  <si>
    <t>Computer Services</t>
  </si>
  <si>
    <t>Computers/Peripherals</t>
  </si>
  <si>
    <t>Construction Supplies</t>
  </si>
  <si>
    <t>Diversified</t>
  </si>
  <si>
    <t>Drugs (Biotechnology)</t>
  </si>
  <si>
    <t>Drugs (Pharmaceutical)</t>
  </si>
  <si>
    <t>Education</t>
  </si>
  <si>
    <t>Electrical Equipment</t>
  </si>
  <si>
    <t>Electronics (Consumer &amp; Office)</t>
  </si>
  <si>
    <t>Electronics (General)</t>
  </si>
  <si>
    <t>Engineering/Construction</t>
  </si>
  <si>
    <t>Entertainment</t>
  </si>
  <si>
    <t>Environmental &amp; Waste Services</t>
  </si>
  <si>
    <t>Farming/Agriculture</t>
  </si>
  <si>
    <t>Financial Svcs. (Non-bank &amp; Insurance)</t>
  </si>
  <si>
    <t>Food Processing</t>
  </si>
  <si>
    <t>Food Wholesalers</t>
  </si>
  <si>
    <t>Furn/Home Furnishings</t>
  </si>
  <si>
    <t>Green &amp; Renewable Energy</t>
  </si>
  <si>
    <t>Healthcare Products</t>
  </si>
  <si>
    <t>Healthcare Support Services</t>
  </si>
  <si>
    <t>Heathcare Information and Technology</t>
  </si>
  <si>
    <t>Homebuilding</t>
  </si>
  <si>
    <t>Hospitals/Healthcare Facilities</t>
  </si>
  <si>
    <t>Hotel/Gaming</t>
  </si>
  <si>
    <t>Household Products</t>
  </si>
  <si>
    <t>Information Services</t>
  </si>
  <si>
    <t>Insurance (General)</t>
  </si>
  <si>
    <t>Insurance (Life)</t>
  </si>
  <si>
    <t>Insurance (Prop/Cas.)</t>
  </si>
  <si>
    <t>Investments &amp; Asset Management</t>
  </si>
  <si>
    <t>Machinery</t>
  </si>
  <si>
    <t>Metals &amp; Mining</t>
  </si>
  <si>
    <t>Office Equipment &amp; Services</t>
  </si>
  <si>
    <t>Oil/Gas (Integrated)</t>
  </si>
  <si>
    <t>Oil/Gas (Production and Exploration)</t>
  </si>
  <si>
    <t>Oil/Gas Distribution</t>
  </si>
  <si>
    <t>Oilfield Svcs/Equip.</t>
  </si>
  <si>
    <t>Packaging &amp; Container</t>
  </si>
  <si>
    <t>Paper/Forest Products</t>
  </si>
  <si>
    <t>Power</t>
  </si>
  <si>
    <t>Precious Metals</t>
  </si>
  <si>
    <t>Publishing &amp; Newspapers</t>
  </si>
  <si>
    <t>R.E.I.T.</t>
  </si>
  <si>
    <t>Real Estate (Development)</t>
  </si>
  <si>
    <t>Real Estate (General/Diversified)</t>
  </si>
  <si>
    <t>Real Estate (Operations &amp; Services)</t>
  </si>
  <si>
    <t>Recreation</t>
  </si>
  <si>
    <t>Reinsurance</t>
  </si>
  <si>
    <t>Restaurant/Dining</t>
  </si>
  <si>
    <t>Retail (Automotive)</t>
  </si>
  <si>
    <t>Retail (Building Supply)</t>
  </si>
  <si>
    <t>Retail (Distributors)</t>
  </si>
  <si>
    <t>Retail (General)</t>
  </si>
  <si>
    <t>Retail (Grocery and Food)</t>
  </si>
  <si>
    <t>Retail (Online)</t>
  </si>
  <si>
    <t>Retail (Special Lines)</t>
  </si>
  <si>
    <t>Rubber&amp; Tires</t>
  </si>
  <si>
    <t>Semiconductor</t>
  </si>
  <si>
    <t>Semiconductor Equip</t>
  </si>
  <si>
    <t>Shipbuilding &amp; Marine</t>
  </si>
  <si>
    <t>Shoe</t>
  </si>
  <si>
    <t>Software (Entertainment)</t>
  </si>
  <si>
    <t>Software (Internet)</t>
  </si>
  <si>
    <t>Software (System &amp; Application)</t>
  </si>
  <si>
    <t>Steel</t>
  </si>
  <si>
    <t>Telecom (Wireless)</t>
  </si>
  <si>
    <t>Telecom. Equipment</t>
  </si>
  <si>
    <t>Telecom. Services</t>
  </si>
  <si>
    <t>Tobacco</t>
  </si>
  <si>
    <t>Transportation</t>
  </si>
  <si>
    <t>Transportation (Railroads)</t>
  </si>
  <si>
    <t>Trucking</t>
  </si>
  <si>
    <t>Utility (General)</t>
  </si>
  <si>
    <t>Utility (Water)</t>
  </si>
  <si>
    <t>Years since last year</t>
  </si>
  <si>
    <t>yes</t>
  </si>
  <si>
    <t>no</t>
  </si>
  <si>
    <t xml:space="preserve">If you want to capitalize R&amp;D, you have to input the numbers into the R&amp;D worksheet. </t>
  </si>
  <si>
    <t>If you have operating leases, please enter your lease commitments in the lease worksheet below and I will convert to debt</t>
  </si>
  <si>
    <t>Growth Lever</t>
  </si>
  <si>
    <t>Profitability Lever</t>
  </si>
  <si>
    <t>Efficency of Growth Lever</t>
  </si>
  <si>
    <t>CoC worksheet</t>
  </si>
  <si>
    <t>Default assumptions</t>
  </si>
  <si>
    <t>In stable growth, I will assume that your firm will have a cost of capital similar to that of typical mature companies (riskfree rate + 4.5%)</t>
  </si>
  <si>
    <t>Do you want to override this assumption =</t>
  </si>
  <si>
    <t>If yes, enter the cost of capital after year 10 =</t>
  </si>
  <si>
    <t>I will assume that your firm will earn a return on capital equal to its cost of capital after year 10. I am assuming that whatever competitive advantages you have today will fade over time.</t>
  </si>
  <si>
    <t>If yes, enter the return on capital you expect after year 10</t>
  </si>
  <si>
    <t>I will assume that your firm has no chance of failure over the foreseeable future.</t>
  </si>
  <si>
    <t>If yes, enter the probability of failure =</t>
  </si>
  <si>
    <t>What do you want to tie your proceeds in failure to?</t>
  </si>
  <si>
    <t>Enter the distress proceeds as percentage of book or fair value</t>
  </si>
  <si>
    <t>I will assume that your effective tax rate will adjust to your marginal tax rate by your terminal year. If you override this assumption, I will leave the tax rate at your effective tax rate.</t>
  </si>
  <si>
    <t>I will assume that you have no losses carried forward from prior years ( NOL) coming into the valuation. If you have a money losing company, you may want to override tis.</t>
  </si>
  <si>
    <t>If yes, enter the NOL that you are carrying over into year 1</t>
  </si>
  <si>
    <t>I have assumed that none of the cash is trapped (in foreign countries) and that there is no additional tax liability coming due</t>
  </si>
  <si>
    <t>Do you want to override this assumption</t>
  </si>
  <si>
    <t>If yes, enter the amount of trapped cash</t>
  </si>
  <si>
    <t>&amp; Average tax rate of the foreign markets where the cash is trapped</t>
  </si>
  <si>
    <t>B</t>
  </si>
  <si>
    <t>V</t>
  </si>
  <si>
    <t>Mature companies generally see their risk levels approach the average</t>
  </si>
  <si>
    <t>Though some sectors, even in stable growth, may have higher risk.</t>
  </si>
  <si>
    <t>Mature companies find it difficult to generate returns that exceed the cost of capital</t>
  </si>
  <si>
    <t>But there are significant exceptions among companies with long-lasting competitive advantages.</t>
  </si>
  <si>
    <t>Many young, growth companies fail, especially if they have trouble raising cash. Many distressed companies fail, because they have trouble making debt payments.</t>
  </si>
  <si>
    <t>Tough to estimate but a key input.</t>
  </si>
  <si>
    <t>B: Book value of capital, V= Estimated fair value for the company</t>
  </si>
  <si>
    <t>This can be zero, if the assets will be worth nothing if the firm fails.</t>
  </si>
  <si>
    <t>Check the financial statements.</t>
  </si>
  <si>
    <t>An NOL will shield your income from taxes, even after you start making money.</t>
  </si>
  <si>
    <t>Computed numbers: Here is what your company's numbers look like, relative to industry.</t>
  </si>
  <si>
    <t>If you are not working in US dollars, you should add the inflation differential to the industry averages.</t>
  </si>
  <si>
    <t>Revenue growth in the most recent year =</t>
  </si>
  <si>
    <t>Pre-tax operating margin in the most recent year =</t>
  </si>
  <si>
    <t>Sales to capital ratio in most recent year =</t>
  </si>
  <si>
    <t>Return on invested capital in most recent year=</t>
  </si>
  <si>
    <t>Standard deviation in stock prices =</t>
  </si>
  <si>
    <t>Cost of capital =</t>
  </si>
  <si>
    <t>Company</t>
  </si>
  <si>
    <t>Industry (US data)</t>
  </si>
  <si>
    <t>Industry (Global data)</t>
  </si>
  <si>
    <t>Valuation Output Feedback (for you to use to fine tune your inputs, if you want</t>
  </si>
  <si>
    <t>Revenues in year 10, based on your revenue growth =</t>
  </si>
  <si>
    <t>Pre-tax Operating Income in year 10, based on your operating margin =</t>
  </si>
  <si>
    <t>Return on invested capital in year 10, based on your sales/capital ratio =</t>
  </si>
  <si>
    <t>Check the Diagnostics worksheet for more details.</t>
  </si>
  <si>
    <t>Base year</t>
  </si>
  <si>
    <t>Terminal year</t>
  </si>
  <si>
    <t>Revenue growth rate</t>
  </si>
  <si>
    <t>EBIT (Operating) margin</t>
  </si>
  <si>
    <t>EBIT (Operating income)</t>
  </si>
  <si>
    <t>Tax rate</t>
  </si>
  <si>
    <t>EBIT(1-t)</t>
  </si>
  <si>
    <t xml:space="preserve"> - Reinvestment</t>
  </si>
  <si>
    <t>FCFF</t>
  </si>
  <si>
    <t>NOL</t>
  </si>
  <si>
    <t>Cost of capital</t>
  </si>
  <si>
    <t>Cumulated discount factor</t>
  </si>
  <si>
    <t>PV(FCFF)</t>
  </si>
  <si>
    <t>Terminal cash flow</t>
  </si>
  <si>
    <t>Terminal cost of capital</t>
  </si>
  <si>
    <t>Terminal value</t>
  </si>
  <si>
    <t>PV(Terminal value)</t>
  </si>
  <si>
    <t>PV (CF over next 10 years)</t>
  </si>
  <si>
    <t>Sum of PV</t>
  </si>
  <si>
    <t>Probability of failure =</t>
  </si>
  <si>
    <t>Proceeds if firm fails =</t>
  </si>
  <si>
    <t>Value of operating assets =</t>
  </si>
  <si>
    <t xml:space="preserve"> - Debt</t>
  </si>
  <si>
    <t xml:space="preserve"> - Minority interests</t>
  </si>
  <si>
    <t xml:space="preserve"> +  Cash</t>
  </si>
  <si>
    <t xml:space="preserve"> + Non-operating assets</t>
  </si>
  <si>
    <t>Value of equity</t>
  </si>
  <si>
    <t xml:space="preserve"> - Value of options</t>
  </si>
  <si>
    <t>Value of equity in common stock</t>
  </si>
  <si>
    <t>Number of shares</t>
  </si>
  <si>
    <t>Estimated value /share</t>
  </si>
  <si>
    <t>Price</t>
  </si>
  <si>
    <t>Price as % of value</t>
  </si>
  <si>
    <t>Implied variables</t>
  </si>
  <si>
    <t>Sales to capital ratio</t>
  </si>
  <si>
    <t>Invested capital</t>
  </si>
  <si>
    <t>ROIC</t>
  </si>
  <si>
    <t>Valuing Options or Warrants</t>
  </si>
  <si>
    <t>Enter the current stock price =</t>
  </si>
  <si>
    <t>Enter the strike price on the option =</t>
  </si>
  <si>
    <t>Enter the expiration of the option =</t>
  </si>
  <si>
    <t>Enter the standard deviation in stock prices =</t>
  </si>
  <si>
    <t>Enter the annualized dividend yield on stock =</t>
  </si>
  <si>
    <t>Enter the treasury bond rate =</t>
  </si>
  <si>
    <t>Enter the number of warrants (options) outstanding =</t>
  </si>
  <si>
    <t>Enter the number of shares outstanding =</t>
  </si>
  <si>
    <t>Do not input any numbers below this line</t>
  </si>
  <si>
    <t>VALUING WARRANTS WHEN THERE IS DILUTION</t>
  </si>
  <si>
    <t>Stock Price=</t>
  </si>
  <si>
    <t>Strike Price=</t>
  </si>
  <si>
    <t>Adjusted S =</t>
  </si>
  <si>
    <t>Adjusted K =</t>
  </si>
  <si>
    <t>Expiration (in years) =</t>
  </si>
  <si>
    <t xml:space="preserve">d1 = </t>
  </si>
  <si>
    <t>N (d1) =</t>
  </si>
  <si>
    <t xml:space="preserve">d2 = </t>
  </si>
  <si>
    <t>N (d2) =</t>
  </si>
  <si>
    <t xml:space="preserve">Value per option = </t>
  </si>
  <si>
    <t>Value of all options outstanding =</t>
  </si>
  <si>
    <t># Warrants issued=</t>
  </si>
  <si>
    <t># Shares outstanding=</t>
  </si>
  <si>
    <t>T.Bond rate=</t>
  </si>
  <si>
    <t>Variance=</t>
  </si>
  <si>
    <t>Annualized dividend yield=</t>
  </si>
  <si>
    <t>Div. Adj. interest rate=</t>
  </si>
  <si>
    <t>R &amp; D Converter</t>
  </si>
  <si>
    <t>This spreadsheet converts R&amp;D expenses from operating to capital expenses. It makes the appropriate adjustments to operating income, net</t>
  </si>
  <si>
    <t>income, the book value of assets and the book value of equity.</t>
  </si>
  <si>
    <t>Inputs</t>
  </si>
  <si>
    <t>Over how many years do you want to amortize R&amp;D expenses</t>
  </si>
  <si>
    <t>Enter the current year's R&amp;D expense =</t>
  </si>
  <si>
    <t>Enter R&amp; D expenses for past years: the number of years that you will need to enter will be determined by the amortization period</t>
  </si>
  <si>
    <t>Do not input numbers in the first column (Year). It will get automatically updated  based on the input above.</t>
  </si>
  <si>
    <t>Year</t>
  </si>
  <si>
    <t>Output</t>
  </si>
  <si>
    <t>Current</t>
  </si>
  <si>
    <t>Value of Research Asset =</t>
  </si>
  <si>
    <t>Amortization of asset for current year =</t>
  </si>
  <si>
    <t>Adjustment to Operating Income =</t>
  </si>
  <si>
    <t>Tax Effect of R&amp;D Expensing</t>
  </si>
  <si>
    <t>R&amp;D Expense</t>
  </si>
  <si>
    <t>Unamortized portion</t>
  </si>
  <si>
    <t>Amortization this year</t>
  </si>
  <si>
    <t>! A positive number indicates an increase in operating income (add to reported EBIT)</t>
  </si>
  <si>
    <t>! If in doubt, use the lookup table below</t>
  </si>
  <si>
    <t>The maximum allowed is ten years</t>
  </si>
  <si>
    <t>! Year -1 is the year prior to the current year</t>
  </si>
  <si>
    <t>! Year -2 is the two years prior to the current year</t>
  </si>
  <si>
    <t>R&amp; D Expenses</t>
  </si>
  <si>
    <t>Operating lease expense in current year =</t>
  </si>
  <si>
    <t>Operating Lease Commitments (From footnote to financials)</t>
  </si>
  <si>
    <t>6 and beyond</t>
  </si>
  <si>
    <t>Pre-tax Cost of Debt =</t>
  </si>
  <si>
    <t>Number of years embedded in yr 6 estimate =</t>
  </si>
  <si>
    <t>Converting Operating Leases into debt</t>
  </si>
  <si>
    <t>Debt Value of leases =</t>
  </si>
  <si>
    <t>Restated Financials</t>
  </si>
  <si>
    <t>Depreciation on Operating Lease Asset =</t>
  </si>
  <si>
    <t>Adjustment to Operating Earnings =</t>
  </si>
  <si>
    <t>Adjustment to Total Debt outstanding =</t>
  </si>
  <si>
    <t>Adjustment to Depreciation =</t>
  </si>
  <si>
    <t>Commitment</t>
  </si>
  <si>
    <t>! Year 1 is next year, ….</t>
  </si>
  <si>
    <t>Present Value</t>
  </si>
  <si>
    <t>! If you do not have a cost of debt, use the synthetic rating estimator</t>
  </si>
  <si>
    <t>! Commitment beyond year 6 converted into an annuity for ten years</t>
  </si>
  <si>
    <t>! I use the average lease expense over the first five years</t>
  </si>
  <si>
    <t>to estimate the number of years of expenses in yr 6</t>
  </si>
  <si>
    <t>! I use straight line depreciation</t>
  </si>
  <si>
    <t>! Add this amount to pre-tax operating income</t>
  </si>
  <si>
    <t>! Add this amount to debt</t>
  </si>
  <si>
    <t>Operating Lease Converter</t>
  </si>
  <si>
    <t>The yellow cells are input cells. Please enter them.</t>
  </si>
  <si>
    <t>Estimation of Current Cost of Capital</t>
  </si>
  <si>
    <t>Equity</t>
  </si>
  <si>
    <t>Number of Shares outstanding =</t>
  </si>
  <si>
    <t>Current Market Price per share =</t>
  </si>
  <si>
    <t>Approach for estimating beta</t>
  </si>
  <si>
    <t>If direct input, enter levered beta (or regression beta)</t>
  </si>
  <si>
    <t>Unlevered beta =</t>
  </si>
  <si>
    <t>Riskfree Rate =</t>
  </si>
  <si>
    <t>What approach do you want to use to input ERP?</t>
  </si>
  <si>
    <t>Direct input for ERP (if you choose "will input"</t>
  </si>
  <si>
    <t>Equity Risk Premium used in cost of equity =</t>
  </si>
  <si>
    <t>Debt</t>
  </si>
  <si>
    <t>Book Value of Straight Debt =</t>
  </si>
  <si>
    <t>Interest Expense on Debt =</t>
  </si>
  <si>
    <t>Average Maturity =</t>
  </si>
  <si>
    <t>Approach for estimating pre-tax cost of debt</t>
  </si>
  <si>
    <t>If direct input, input the pre-tax cost of debt</t>
  </si>
  <si>
    <t>If actual rating, input the rating</t>
  </si>
  <si>
    <t>If synethetic rating, input the type of company</t>
  </si>
  <si>
    <t>Tax Rate =</t>
  </si>
  <si>
    <t>Book Value of Convertible Debt =</t>
  </si>
  <si>
    <t>Interest Expense on Convertible =</t>
  </si>
  <si>
    <t>Maturity of Convertible Bond =</t>
  </si>
  <si>
    <t>Market Value of Convertible =</t>
  </si>
  <si>
    <t>Debt value of operating leases =</t>
  </si>
  <si>
    <t>Preferred Stock</t>
  </si>
  <si>
    <t>Number of Preferred Shares =</t>
  </si>
  <si>
    <t>Current Market Price per Share=</t>
  </si>
  <si>
    <t>Annual Dividend per Share =</t>
  </si>
  <si>
    <t>Estimating Market Value of Straight Debt =</t>
  </si>
  <si>
    <t>Estimated Value of Straight Debt in Convertible =</t>
  </si>
  <si>
    <t>Value of Debt in Operating leases =</t>
  </si>
  <si>
    <t>Estimated Value of Equity in Convertible =</t>
  </si>
  <si>
    <t>Levered Beta for equity =</t>
  </si>
  <si>
    <t>Market Value</t>
  </si>
  <si>
    <t>Weight in Cost of Capital</t>
  </si>
  <si>
    <t>Cost of Component</t>
  </si>
  <si>
    <t>Single Business(Global)</t>
  </si>
  <si>
    <t>Operating regions</t>
  </si>
  <si>
    <t>Synthetic rating</t>
  </si>
  <si>
    <t>Baa2/BBB</t>
  </si>
  <si>
    <t xml:space="preserve">Debt </t>
  </si>
  <si>
    <t>Capital</t>
  </si>
  <si>
    <t>This one^</t>
  </si>
  <si>
    <t>Operating Countries ERP calculator</t>
  </si>
  <si>
    <t>Total</t>
  </si>
  <si>
    <t>Operating Regions ERP calculator</t>
  </si>
  <si>
    <t>Multi Business (US Industry Averages)</t>
  </si>
  <si>
    <t>Business</t>
  </si>
  <si>
    <t>Multi Business (Global Industry Averages)</t>
  </si>
  <si>
    <t>ERP</t>
  </si>
  <si>
    <t>EV/Sales</t>
  </si>
  <si>
    <t>Weight</t>
  </si>
  <si>
    <t>Estimated Value</t>
  </si>
  <si>
    <t>Weighted ERP</t>
  </si>
  <si>
    <t>Unlevered Beta</t>
  </si>
  <si>
    <t>Inputs for synthetic rating estimation</t>
  </si>
  <si>
    <t>Please read the special cases worksheet (see below) before you use this spreadsheet.</t>
  </si>
  <si>
    <t>Before you use this spreadsheet, make sure that the iteration box (under calculation options in excel) is checked.</t>
  </si>
  <si>
    <t>Enter the type of firm =</t>
  </si>
  <si>
    <t>Enter current Earnings before interest and taxes (EBIT) =</t>
  </si>
  <si>
    <t>Enter current interest expenses =</t>
  </si>
  <si>
    <t>Enter long term risk free rate  =</t>
  </si>
  <si>
    <t>Interest  coverage ratio =</t>
  </si>
  <si>
    <t>Estimated Bond Rating =</t>
  </si>
  <si>
    <t>Estimated Company Default Spread =</t>
  </si>
  <si>
    <t>Estimated County Default Spread (if any) =</t>
  </si>
  <si>
    <t>Estimated Cost of Debt =</t>
  </si>
  <si>
    <t xml:space="preserve"> If you want to update the spreads listed below, please visit http://www.bondsonline.com</t>
  </si>
  <si>
    <t>For large manufacturing firms</t>
  </si>
  <si>
    <t>If interest coverage ratio is</t>
  </si>
  <si>
    <t>&gt;</t>
  </si>
  <si>
    <t>For smaller and riskier firms</t>
  </si>
  <si>
    <t>greater than</t>
  </si>
  <si>
    <t>≤ to</t>
  </si>
  <si>
    <t>Rating is</t>
  </si>
  <si>
    <t>Spread is</t>
  </si>
  <si>
    <t>D2/D</t>
  </si>
  <si>
    <t>Caa/CCC</t>
  </si>
  <si>
    <t>Ca2/CC</t>
  </si>
  <si>
    <t>C2/C</t>
  </si>
  <si>
    <t>B3/B-</t>
  </si>
  <si>
    <t>B2/B</t>
  </si>
  <si>
    <t>B1/B+</t>
  </si>
  <si>
    <t>Ba2/BB</t>
  </si>
  <si>
    <t>Ba1/BB+</t>
  </si>
  <si>
    <t>A3/A-</t>
  </si>
  <si>
    <t>A2/A</t>
  </si>
  <si>
    <t>A1/A+</t>
  </si>
  <si>
    <t>Aa2/AA</t>
  </si>
  <si>
    <t>Aaa/AAA</t>
  </si>
  <si>
    <t>Note: If you get REF! All over the place, set the operating lease commitment question in cell F5</t>
  </si>
  <si>
    <t>to No, and then reset it to Yes. It should work.</t>
  </si>
  <si>
    <t>(Add back only long term interest expense for financial firms)</t>
  </si>
  <si>
    <t>(Use only long term interest expense for financial firms)</t>
  </si>
  <si>
    <t>Direct input</t>
  </si>
  <si>
    <t>Single Business(US)</t>
  </si>
  <si>
    <t>Multibusiness(US)</t>
  </si>
  <si>
    <t>Multibusiness(Global)</t>
  </si>
  <si>
    <t>Will input</t>
  </si>
  <si>
    <t>Operating countries</t>
  </si>
  <si>
    <t>Actual rating</t>
  </si>
  <si>
    <t>Number of firms</t>
  </si>
  <si>
    <t>Annual Average Revenue growth - Last 5 years</t>
  </si>
  <si>
    <t>Pre-tax Operating Margin</t>
  </si>
  <si>
    <t>After-tax ROC</t>
  </si>
  <si>
    <t>Average effective tax rate</t>
  </si>
  <si>
    <t>Equity (Levered) Beta</t>
  </si>
  <si>
    <t>Cost of equity</t>
  </si>
  <si>
    <t>Std deviation in stock prices</t>
  </si>
  <si>
    <t>Pre-tax cost of debt</t>
  </si>
  <si>
    <t>Market Debt/Capital</t>
  </si>
  <si>
    <t>Sales/Capital</t>
  </si>
  <si>
    <t>EV/EBITDA</t>
  </si>
  <si>
    <t>EV/EBIT</t>
  </si>
  <si>
    <t>Price/Book</t>
  </si>
  <si>
    <t>Trailing PE</t>
  </si>
  <si>
    <t>Non-cash WC as % of Revenues</t>
  </si>
  <si>
    <t>Cap Ex as % of Revenues</t>
  </si>
  <si>
    <t>Net Cap Ex as % of Revenues</t>
  </si>
  <si>
    <t>Reinvestment Rate</t>
  </si>
  <si>
    <t>ROE</t>
  </si>
  <si>
    <t>Dividend Payout Ratio</t>
  </si>
  <si>
    <t>Equity Reinvestment Rate</t>
  </si>
  <si>
    <t>NA</t>
  </si>
  <si>
    <t>GDP (in billions)</t>
  </si>
  <si>
    <t>Adj. Default Spread</t>
  </si>
  <si>
    <t>Total Risk Premium</t>
  </si>
  <si>
    <t>Country Risk Premium</t>
  </si>
  <si>
    <t>Corporate Tax Rate</t>
  </si>
  <si>
    <t>Andorra (Principality of)</t>
  </si>
  <si>
    <t>Ras Al Khaimah (Emirate of)</t>
  </si>
  <si>
    <t>Turks and Caicos Islands</t>
  </si>
  <si>
    <t>Weighted Average: TRP</t>
  </si>
  <si>
    <t>Weighted Average: CRP</t>
  </si>
  <si>
    <t>Weighted Average: Default Spreads</t>
  </si>
  <si>
    <t>Tax Rate</t>
  </si>
  <si>
    <t>Global</t>
  </si>
  <si>
    <t>After year 10</t>
  </si>
  <si>
    <t>TTM calculator</t>
  </si>
  <si>
    <t>Last 10K</t>
  </si>
  <si>
    <t>First X months: Last year</t>
  </si>
  <si>
    <t>First X months: Current year</t>
  </si>
  <si>
    <t>Trailing 12 month</t>
  </si>
  <si>
    <t>R&amp;D expense</t>
  </si>
  <si>
    <t>Interest expenses</t>
  </si>
  <si>
    <t>Rest of World</t>
  </si>
  <si>
    <t>Maldives</t>
  </si>
  <si>
    <t>Solomon Islands</t>
  </si>
  <si>
    <t>Tanzania</t>
  </si>
  <si>
    <t>Mature, riskier</t>
  </si>
  <si>
    <t>Mature, safer</t>
  </si>
  <si>
    <t>Strong competitive advantages</t>
  </si>
  <si>
    <t>Some competitive advantages</t>
  </si>
  <si>
    <t>Initial CoC</t>
  </si>
  <si>
    <t>Mature, riskier CoC</t>
  </si>
  <si>
    <t>Mature, safer CoC</t>
  </si>
  <si>
    <t>Don't exceed 5%</t>
  </si>
  <si>
    <t>Year 10 Revs</t>
  </si>
  <si>
    <t>Year 10 Rev Growth rate</t>
  </si>
  <si>
    <t>Is this growth rate bigger than the economy's growth rate?</t>
  </si>
  <si>
    <t>Are these revenues larger than the total market?</t>
  </si>
  <si>
    <t>Rev growth rates</t>
  </si>
  <si>
    <t>Earnings growth rates</t>
  </si>
  <si>
    <t>Difference</t>
  </si>
  <si>
    <t>Is earnings growth exceeding revenue growth?</t>
  </si>
  <si>
    <t>initial CoC</t>
  </si>
  <si>
    <t>Yr 10 CoC</t>
  </si>
  <si>
    <t>Value Narrative</t>
  </si>
  <si>
    <t>High Growth?</t>
  </si>
  <si>
    <t>Rel to US</t>
  </si>
  <si>
    <t>Rel to Global</t>
  </si>
  <si>
    <t>Low Risk?</t>
  </si>
  <si>
    <t xml:space="preserve">Cost of capital in Year 10 = </t>
  </si>
  <si>
    <t>If growth is higher than US or Global, is Risk also higher? Generally, it is unlikely you can generate higher returns without the risk</t>
  </si>
  <si>
    <t>High Reinvestment?</t>
  </si>
  <si>
    <t>Low Reinvestment?</t>
  </si>
  <si>
    <t>If Growth is high, is Reinvesment low? Higher growth should generally require more reinvestment</t>
  </si>
  <si>
    <t>If Risk is low, is Reinvestment high? Low risk generally comes with low reinvestment</t>
  </si>
  <si>
    <t>Current Price</t>
  </si>
  <si>
    <t>Cost of Equity</t>
  </si>
  <si>
    <t>Dividend Yield</t>
  </si>
  <si>
    <t>CoE - Div Yield</t>
  </si>
  <si>
    <t>Price Target 1 Yr</t>
  </si>
  <si>
    <t>Price Target 2 Yr</t>
  </si>
  <si>
    <t>Up/Down</t>
  </si>
  <si>
    <t>Plus Div</t>
  </si>
  <si>
    <t>Price Targets</t>
  </si>
  <si>
    <t>A higher sales to capital means more efficient reinvestment</t>
  </si>
  <si>
    <t>To increase reinvestment, lower your sales to capital</t>
  </si>
  <si>
    <t>Years 1-2</t>
  </si>
  <si>
    <t>Years 3-5</t>
  </si>
  <si>
    <t>EBIT cur (TTM)</t>
  </si>
  <si>
    <t>EBIT last yr</t>
  </si>
  <si>
    <t>EBIT yr before</t>
  </si>
  <si>
    <t>3 yr avg. EBIT</t>
  </si>
  <si>
    <t>EBIT 10 yr ago</t>
  </si>
  <si>
    <t>EBIT 9 yr ago</t>
  </si>
  <si>
    <t>EBIT 8 yr ago</t>
  </si>
  <si>
    <t>diff</t>
  </si>
  <si>
    <t>% diff</t>
  </si>
  <si>
    <t>est. ebit growth</t>
  </si>
  <si>
    <t>EBIT growth</t>
  </si>
  <si>
    <t>TTM</t>
  </si>
  <si>
    <t>Amortization of acquired intangibles</t>
  </si>
  <si>
    <t>Cur Year</t>
  </si>
  <si>
    <t>Last Year</t>
  </si>
  <si>
    <t>EBIT GAAP</t>
  </si>
  <si>
    <t>Adj EBIT</t>
  </si>
  <si>
    <t>Legacy Obligations</t>
  </si>
  <si>
    <t>Amort of acq intangibles</t>
  </si>
  <si>
    <t>Adj EBIT TTM</t>
  </si>
  <si>
    <t>ERP Link</t>
  </si>
  <si>
    <t>Video: How to use this spreadsheet</t>
  </si>
  <si>
    <t>Country equity risk premiums'!G156</t>
  </si>
  <si>
    <t>CSW Industrials</t>
  </si>
  <si>
    <t>TTM Calc</t>
  </si>
  <si>
    <t>Back to Input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</si>
</sst>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8" formatCode="&quot;$&quot;#,##0.00_);[Red]\(&quot;$&quot;#,##0.00\)"/>
    <numFmt numFmtId="44" formatCode="_(&quot;$&quot;* #,##0.00_);_(&quot;$&quot;* \(#,##0.00\);_(&quot;$&quot;* &quot;-&quot;??_);_(@_)"/>
    <numFmt numFmtId="164" formatCode="0.0000"/>
    <numFmt numFmtId="165" formatCode="&quot;$&quot;#,##0.00"/>
    <numFmt numFmtId="166" formatCode="0.0%"/>
  </numFmts>
  <fonts count="32">
    <font>
      <sz val="11"/>
      <color theme="1"/>
      <name val="Calibri"/>
      <family val="2"/>
      <scheme val="minor"/>
    </font>
    <font>
      <sz val="11"/>
      <color theme="1"/>
      <name val="Calibri"/>
      <family val="2"/>
      <scheme val="minor"/>
    </font>
    <font>
      <sz val="11"/>
      <color rgb="FF3F3F76"/>
      <name val="Calibri"/>
      <family val="2"/>
      <scheme val="minor"/>
    </font>
    <font>
      <sz val="10"/>
      <name val="Geneva"/>
    </font>
    <font>
      <b/>
      <sz val="15"/>
      <color theme="3"/>
      <name val="Calibri"/>
      <family val="2"/>
      <scheme val="minor"/>
    </font>
    <font>
      <b/>
      <sz val="11"/>
      <color rgb="FF3F3F3F"/>
      <name val="Calibri"/>
      <family val="2"/>
      <scheme val="minor"/>
    </font>
    <font>
      <b/>
      <sz val="11"/>
      <color rgb="FFFA7D00"/>
      <name val="Calibri"/>
      <family val="2"/>
      <scheme val="minor"/>
    </font>
    <font>
      <sz val="12"/>
      <color theme="1"/>
      <name val="Calibri"/>
      <family val="2"/>
      <scheme val="minor"/>
    </font>
    <font>
      <sz val="10"/>
      <name val="Arial"/>
      <family val="2"/>
    </font>
    <font>
      <sz val="9"/>
      <color indexed="81"/>
      <name val="Tahoma"/>
      <family val="2"/>
    </font>
    <font>
      <b/>
      <sz val="9"/>
      <color indexed="81"/>
      <name val="Tahoma"/>
      <family val="2"/>
    </font>
    <font>
      <u/>
      <sz val="11"/>
      <color theme="10"/>
      <name val="Calibri"/>
      <family val="2"/>
      <scheme val="minor"/>
    </font>
    <font>
      <sz val="9"/>
      <color indexed="81"/>
      <name val="Tahoma"/>
      <charset val="1"/>
    </font>
    <font>
      <b/>
      <sz val="9"/>
      <color indexed="81"/>
      <name val="Tahoma"/>
      <charset val="1"/>
    </font>
    <font>
      <u/>
      <sz val="12"/>
      <color theme="10"/>
      <name val="Calibri"/>
      <family val="2"/>
      <scheme val="minor"/>
    </font>
    <font>
      <sz val="10"/>
      <name val="Geneva"/>
      <family val="2"/>
    </font>
    <font>
      <sz val="9"/>
      <name val="Geneva"/>
      <family val="2"/>
    </font>
    <font>
      <u/>
      <sz val="9"/>
      <color indexed="12"/>
      <name val="Geneva"/>
      <family val="2"/>
    </font>
    <font>
      <b/>
      <sz val="11"/>
      <color indexed="9"/>
      <name val="Calibri"/>
      <family val="2"/>
    </font>
    <font>
      <b/>
      <sz val="11"/>
      <color theme="0"/>
      <name val="Roboto"/>
    </font>
    <font>
      <sz val="11"/>
      <color theme="0"/>
      <name val="Roboto"/>
    </font>
    <font>
      <u/>
      <sz val="11"/>
      <color theme="0"/>
      <name val="Roboto"/>
    </font>
    <font>
      <b/>
      <sz val="12"/>
      <color theme="0"/>
      <name val="Roboto"/>
    </font>
    <font>
      <i/>
      <sz val="11"/>
      <color theme="0"/>
      <name val="Roboto"/>
    </font>
    <font>
      <sz val="11"/>
      <color theme="1"/>
      <name val="Roboto"/>
    </font>
    <font>
      <b/>
      <sz val="15"/>
      <color theme="0"/>
      <name val="Roboto"/>
    </font>
    <font>
      <sz val="10"/>
      <color theme="0"/>
      <name val="Roboto"/>
    </font>
    <font>
      <sz val="9"/>
      <color theme="0"/>
      <name val="Roboto"/>
    </font>
    <font>
      <i/>
      <sz val="10"/>
      <color theme="0"/>
      <name val="Roboto"/>
    </font>
    <font>
      <i/>
      <sz val="9"/>
      <color theme="0"/>
      <name val="Roboto"/>
    </font>
    <font>
      <i/>
      <sz val="12"/>
      <color theme="0"/>
      <name val="Roboto"/>
    </font>
    <font>
      <sz val="12"/>
      <color theme="0"/>
      <name val="Roboto"/>
    </font>
  </fonts>
  <fills count="14">
    <fill>
      <patternFill patternType="none"/>
    </fill>
    <fill>
      <patternFill patternType="gray125"/>
    </fill>
    <fill>
      <patternFill patternType="solid">
        <fgColor rgb="FFFFCC99"/>
      </patternFill>
    </fill>
    <fill>
      <patternFill patternType="solid">
        <fgColor rgb="FFF2F2F2"/>
      </patternFill>
    </fill>
    <fill>
      <patternFill patternType="solid">
        <fgColor theme="4" tint="0.79998168889431442"/>
        <bgColor indexed="65"/>
      </patternFill>
    </fill>
    <fill>
      <patternFill patternType="solid">
        <fgColor theme="6" tint="0.39997558519241921"/>
        <bgColor indexed="65"/>
      </patternFill>
    </fill>
    <fill>
      <patternFill patternType="solid">
        <fgColor theme="5" tint="0.79998168889431442"/>
        <bgColor indexed="65"/>
      </patternFill>
    </fill>
    <fill>
      <patternFill patternType="solid">
        <fgColor theme="7" tint="0.79998168889431442"/>
        <bgColor indexed="65"/>
      </patternFill>
    </fill>
    <fill>
      <patternFill patternType="solid">
        <fgColor rgb="FF4F81BD"/>
        <bgColor indexed="64"/>
      </patternFill>
    </fill>
    <fill>
      <patternFill patternType="solid">
        <fgColor theme="7" tint="0.39997558519241921"/>
        <bgColor indexed="65"/>
      </patternFill>
    </fill>
    <fill>
      <patternFill patternType="solid">
        <fgColor theme="2" tint="-0.499984740745262"/>
        <bgColor indexed="64"/>
      </patternFill>
    </fill>
    <fill>
      <patternFill patternType="solid">
        <fgColor theme="1" tint="0.34998626667073579"/>
        <bgColor indexed="64"/>
      </patternFill>
    </fill>
    <fill>
      <patternFill patternType="solid">
        <fgColor theme="1" tint="0.14999847407452621"/>
        <bgColor indexed="64"/>
      </patternFill>
    </fill>
    <fill>
      <patternFill patternType="solid">
        <fgColor theme="5"/>
        <bgColor indexed="64"/>
      </patternFill>
    </fill>
  </fills>
  <borders count="19">
    <border>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7F7F7F"/>
      </left>
      <right style="thin">
        <color rgb="FF7F7F7F"/>
      </right>
      <top style="thin">
        <color rgb="FF7F7F7F"/>
      </top>
      <bottom/>
      <diagonal/>
    </border>
    <border>
      <left style="thin">
        <color rgb="FF7F7F7F"/>
      </left>
      <right style="thin">
        <color rgb="FF7F7F7F"/>
      </right>
      <top/>
      <bottom style="thin">
        <color rgb="FF7F7F7F"/>
      </bottom>
      <diagonal/>
    </border>
  </borders>
  <cellStyleXfs count="27">
    <xf numFmtId="0" fontId="0" fillId="0" borderId="0"/>
    <xf numFmtId="9" fontId="1" fillId="0" borderId="0" applyFont="0" applyFill="0" applyBorder="0" applyAlignment="0" applyProtection="0"/>
    <xf numFmtId="0" fontId="2" fillId="2" borderId="9" applyNumberFormat="0" applyAlignment="0" applyProtection="0"/>
    <xf numFmtId="0" fontId="4" fillId="0" borderId="13" applyNumberFormat="0" applyFill="0" applyAlignment="0" applyProtection="0"/>
    <xf numFmtId="0" fontId="5" fillId="3" borderId="14" applyNumberFormat="0" applyAlignment="0" applyProtection="0"/>
    <xf numFmtId="0" fontId="6" fillId="3" borderId="9" applyNumberFormat="0" applyAlignment="0" applyProtection="0"/>
    <xf numFmtId="0" fontId="1" fillId="4" borderId="0" applyNumberFormat="0" applyBorder="0" applyAlignment="0" applyProtection="0"/>
    <xf numFmtId="0" fontId="7" fillId="0" borderId="0"/>
    <xf numFmtId="9" fontId="7" fillId="0" borderId="0" applyFont="0" applyFill="0" applyBorder="0" applyAlignment="0" applyProtection="0"/>
    <xf numFmtId="44" fontId="1" fillId="0" borderId="0" applyFont="0" applyFill="0" applyBorder="0" applyAlignment="0" applyProtection="0"/>
    <xf numFmtId="0" fontId="1" fillId="5" borderId="0" applyNumberFormat="0" applyBorder="0" applyAlignment="0" applyProtection="0"/>
    <xf numFmtId="0" fontId="11" fillId="0" borderId="0" applyNumberFormat="0" applyFill="0" applyBorder="0" applyAlignment="0" applyProtection="0"/>
    <xf numFmtId="0" fontId="8" fillId="0" borderId="0"/>
    <xf numFmtId="9" fontId="8" fillId="0" borderId="0" applyFont="0" applyFill="0" applyBorder="0" applyAlignment="0" applyProtection="0"/>
    <xf numFmtId="0" fontId="1" fillId="6" borderId="0" applyNumberFormat="0" applyBorder="0" applyAlignment="0" applyProtection="0"/>
    <xf numFmtId="0" fontId="1" fillId="7" borderId="0" applyNumberFormat="0" applyBorder="0" applyAlignment="0" applyProtection="0"/>
    <xf numFmtId="0" fontId="14" fillId="0" borderId="0" applyNumberFormat="0" applyFill="0" applyBorder="0" applyAlignment="0" applyProtection="0"/>
    <xf numFmtId="0" fontId="3" fillId="0" borderId="0"/>
    <xf numFmtId="44" fontId="15" fillId="0" borderId="0" applyFont="0" applyFill="0" applyBorder="0" applyAlignment="0" applyProtection="0"/>
    <xf numFmtId="9" fontId="15" fillId="0" borderId="0" applyFont="0" applyFill="0" applyBorder="0" applyAlignment="0" applyProtection="0"/>
    <xf numFmtId="0" fontId="16" fillId="0" borderId="0"/>
    <xf numFmtId="0" fontId="18" fillId="8" borderId="0"/>
    <xf numFmtId="0" fontId="17" fillId="0" borderId="0" applyNumberFormat="0" applyFill="0" applyBorder="0" applyAlignment="0" applyProtection="0">
      <alignment vertical="top"/>
      <protection locked="0"/>
    </xf>
    <xf numFmtId="9" fontId="16" fillId="0" borderId="0" applyFont="0" applyFill="0" applyBorder="0" applyAlignment="0" applyProtection="0"/>
    <xf numFmtId="44" fontId="16" fillId="0" borderId="0" applyFont="0" applyFill="0" applyBorder="0" applyAlignment="0" applyProtection="0"/>
    <xf numFmtId="0" fontId="1" fillId="9" borderId="0" applyNumberFormat="0" applyBorder="0" applyAlignment="0" applyProtection="0"/>
    <xf numFmtId="44" fontId="7" fillId="0" borderId="0" applyFont="0" applyFill="0" applyBorder="0" applyAlignment="0" applyProtection="0"/>
  </cellStyleXfs>
  <cellXfs count="139">
    <xf numFmtId="0" fontId="0" fillId="0" borderId="0" xfId="0"/>
    <xf numFmtId="0" fontId="19" fillId="12" borderId="0" xfId="0" applyFont="1" applyFill="1"/>
    <xf numFmtId="14" fontId="20" fillId="11" borderId="9" xfId="2" applyNumberFormat="1" applyFont="1" applyFill="1" applyAlignment="1">
      <alignment horizontal="center"/>
    </xf>
    <xf numFmtId="0" fontId="20" fillId="12" borderId="0" xfId="0" applyFont="1" applyFill="1"/>
    <xf numFmtId="0" fontId="22" fillId="12" borderId="0" xfId="0" applyFont="1" applyFill="1"/>
    <xf numFmtId="0" fontId="20" fillId="11" borderId="9" xfId="2" applyFont="1" applyFill="1" applyAlignment="1">
      <alignment horizontal="center"/>
    </xf>
    <xf numFmtId="0" fontId="20" fillId="11" borderId="0" xfId="6" applyFont="1" applyFill="1"/>
    <xf numFmtId="44" fontId="20" fillId="11" borderId="9" xfId="2" applyNumberFormat="1" applyFont="1" applyFill="1"/>
    <xf numFmtId="0" fontId="20" fillId="11" borderId="0" xfId="6" applyFont="1" applyFill="1" applyAlignment="1">
      <alignment horizontal="center"/>
    </xf>
    <xf numFmtId="0" fontId="23" fillId="12" borderId="0" xfId="0" applyFont="1" applyFill="1"/>
    <xf numFmtId="44" fontId="20" fillId="11" borderId="9" xfId="9" applyFont="1" applyFill="1" applyBorder="1"/>
    <xf numFmtId="0" fontId="20" fillId="11" borderId="9" xfId="2" applyNumberFormat="1" applyFont="1" applyFill="1" applyAlignment="1">
      <alignment horizontal="center"/>
    </xf>
    <xf numFmtId="0" fontId="20" fillId="12" borderId="2" xfId="0" applyFont="1" applyFill="1" applyBorder="1"/>
    <xf numFmtId="0" fontId="20" fillId="12" borderId="1" xfId="0" applyFont="1" applyFill="1" applyBorder="1"/>
    <xf numFmtId="0" fontId="20" fillId="12" borderId="3" xfId="0" applyFont="1" applyFill="1" applyBorder="1"/>
    <xf numFmtId="10" fontId="20" fillId="11" borderId="9" xfId="2" applyNumberFormat="1" applyFont="1" applyFill="1" applyAlignment="1">
      <alignment horizontal="center"/>
    </xf>
    <xf numFmtId="0" fontId="20" fillId="12" borderId="4" xfId="0" applyFont="1" applyFill="1" applyBorder="1"/>
    <xf numFmtId="0" fontId="20" fillId="12" borderId="5" xfId="0" applyFont="1" applyFill="1" applyBorder="1"/>
    <xf numFmtId="9" fontId="20" fillId="11" borderId="17" xfId="2" applyNumberFormat="1" applyFont="1" applyFill="1" applyBorder="1" applyAlignment="1">
      <alignment horizontal="center"/>
    </xf>
    <xf numFmtId="0" fontId="20" fillId="12" borderId="12" xfId="0" applyFont="1" applyFill="1" applyBorder="1" applyAlignment="1">
      <alignment horizontal="center" vertical="center"/>
    </xf>
    <xf numFmtId="0" fontId="20" fillId="12" borderId="15" xfId="0" applyFont="1" applyFill="1" applyBorder="1" applyAlignment="1">
      <alignment horizontal="center" vertical="center"/>
    </xf>
    <xf numFmtId="10" fontId="19" fillId="12" borderId="9" xfId="5" applyNumberFormat="1" applyFont="1" applyFill="1"/>
    <xf numFmtId="10" fontId="20" fillId="11" borderId="18" xfId="2" applyNumberFormat="1" applyFont="1" applyFill="1" applyBorder="1" applyAlignment="1">
      <alignment horizontal="center"/>
    </xf>
    <xf numFmtId="2" fontId="19" fillId="12" borderId="9" xfId="5" applyNumberFormat="1" applyFont="1" applyFill="1"/>
    <xf numFmtId="2" fontId="20" fillId="11" borderId="9" xfId="2" applyNumberFormat="1" applyFont="1" applyFill="1" applyAlignment="1">
      <alignment horizontal="center"/>
    </xf>
    <xf numFmtId="2" fontId="20" fillId="11" borderId="9" xfId="2" applyNumberFormat="1" applyFont="1" applyFill="1" applyAlignment="1">
      <alignment horizontal="center" vertical="center"/>
    </xf>
    <xf numFmtId="0" fontId="20" fillId="12" borderId="6" xfId="0" applyFont="1" applyFill="1" applyBorder="1"/>
    <xf numFmtId="0" fontId="20" fillId="12" borderId="7" xfId="0" applyFont="1" applyFill="1" applyBorder="1"/>
    <xf numFmtId="10" fontId="19" fillId="12" borderId="9" xfId="1" applyNumberFormat="1" applyFont="1" applyFill="1" applyBorder="1"/>
    <xf numFmtId="44" fontId="19" fillId="12" borderId="9" xfId="5" applyNumberFormat="1" applyFont="1" applyFill="1"/>
    <xf numFmtId="44" fontId="19" fillId="12" borderId="9" xfId="9" applyFont="1" applyFill="1" applyBorder="1"/>
    <xf numFmtId="8" fontId="20" fillId="11" borderId="9" xfId="2" applyNumberFormat="1" applyFont="1" applyFill="1" applyAlignment="1">
      <alignment horizontal="center"/>
    </xf>
    <xf numFmtId="0" fontId="20" fillId="12" borderId="8" xfId="0" applyFont="1" applyFill="1" applyBorder="1"/>
    <xf numFmtId="0" fontId="20" fillId="12" borderId="2" xfId="0" applyFont="1" applyFill="1" applyBorder="1" applyAlignment="1">
      <alignment horizontal="center"/>
    </xf>
    <xf numFmtId="0" fontId="20" fillId="12" borderId="3" xfId="0" applyFont="1" applyFill="1" applyBorder="1" applyAlignment="1">
      <alignment horizontal="center"/>
    </xf>
    <xf numFmtId="10" fontId="20" fillId="12" borderId="6" xfId="0" applyNumberFormat="1" applyFont="1" applyFill="1" applyBorder="1" applyAlignment="1">
      <alignment horizontal="center"/>
    </xf>
    <xf numFmtId="10" fontId="20" fillId="12" borderId="8" xfId="0" applyNumberFormat="1" applyFont="1" applyFill="1" applyBorder="1" applyAlignment="1">
      <alignment horizontal="center"/>
    </xf>
    <xf numFmtId="10" fontId="20" fillId="12" borderId="6" xfId="0" applyNumberFormat="1" applyFont="1" applyFill="1" applyBorder="1"/>
    <xf numFmtId="10" fontId="20" fillId="12" borderId="7" xfId="0" applyNumberFormat="1" applyFont="1" applyFill="1" applyBorder="1"/>
    <xf numFmtId="10" fontId="20" fillId="12" borderId="8" xfId="0" applyNumberFormat="1" applyFont="1" applyFill="1" applyBorder="1"/>
    <xf numFmtId="10" fontId="20" fillId="12" borderId="12" xfId="0" applyNumberFormat="1" applyFont="1" applyFill="1" applyBorder="1"/>
    <xf numFmtId="10" fontId="20" fillId="12" borderId="16" xfId="10" applyNumberFormat="1" applyFont="1" applyFill="1" applyBorder="1"/>
    <xf numFmtId="10" fontId="20" fillId="12" borderId="15" xfId="10" applyNumberFormat="1" applyFont="1" applyFill="1" applyBorder="1"/>
    <xf numFmtId="9" fontId="20" fillId="11" borderId="9" xfId="2" applyNumberFormat="1" applyFont="1" applyFill="1" applyAlignment="1">
      <alignment horizontal="center"/>
    </xf>
    <xf numFmtId="0" fontId="25" fillId="12" borderId="13" xfId="3" applyFont="1" applyFill="1"/>
    <xf numFmtId="44" fontId="20" fillId="12" borderId="9" xfId="14" applyNumberFormat="1" applyFont="1" applyFill="1" applyBorder="1"/>
    <xf numFmtId="44" fontId="20" fillId="12" borderId="0" xfId="15" applyNumberFormat="1" applyFont="1" applyFill="1"/>
    <xf numFmtId="0" fontId="19" fillId="12" borderId="9" xfId="5" applyFont="1" applyFill="1"/>
    <xf numFmtId="164" fontId="19" fillId="12" borderId="9" xfId="5" applyNumberFormat="1" applyFont="1" applyFill="1"/>
    <xf numFmtId="9" fontId="19" fillId="12" borderId="9" xfId="5" applyNumberFormat="1" applyFont="1" applyFill="1"/>
    <xf numFmtId="10" fontId="19" fillId="12" borderId="14" xfId="4" applyNumberFormat="1" applyFont="1" applyFill="1"/>
    <xf numFmtId="44" fontId="24" fillId="9" borderId="14" xfId="25" applyNumberFormat="1" applyFont="1" applyBorder="1"/>
    <xf numFmtId="0" fontId="20" fillId="12" borderId="0" xfId="6" applyFont="1" applyFill="1"/>
    <xf numFmtId="10" fontId="20" fillId="12" borderId="0" xfId="0" applyNumberFormat="1" applyFont="1" applyFill="1"/>
    <xf numFmtId="2" fontId="20" fillId="12" borderId="0" xfId="0" applyNumberFormat="1" applyFont="1" applyFill="1"/>
    <xf numFmtId="44" fontId="20" fillId="12" borderId="0" xfId="0" applyNumberFormat="1" applyFont="1" applyFill="1"/>
    <xf numFmtId="10" fontId="20" fillId="12" borderId="0" xfId="1" applyNumberFormat="1" applyFont="1" applyFill="1" applyBorder="1"/>
    <xf numFmtId="10" fontId="20" fillId="12" borderId="5" xfId="1" applyNumberFormat="1" applyFont="1" applyFill="1" applyBorder="1"/>
    <xf numFmtId="10" fontId="20" fillId="12" borderId="0" xfId="1" applyNumberFormat="1" applyFont="1" applyFill="1"/>
    <xf numFmtId="10" fontId="20" fillId="12" borderId="5" xfId="0" applyNumberFormat="1" applyFont="1" applyFill="1" applyBorder="1"/>
    <xf numFmtId="0" fontId="23" fillId="12" borderId="6" xfId="0" applyFont="1" applyFill="1" applyBorder="1"/>
    <xf numFmtId="0" fontId="19" fillId="12" borderId="2" xfId="0" applyFont="1" applyFill="1" applyBorder="1"/>
    <xf numFmtId="2" fontId="20" fillId="12" borderId="5" xfId="0" applyNumberFormat="1" applyFont="1" applyFill="1" applyBorder="1"/>
    <xf numFmtId="44" fontId="20" fillId="12" borderId="0" xfId="9" applyFont="1" applyFill="1"/>
    <xf numFmtId="166" fontId="20" fillId="12" borderId="0" xfId="1" applyNumberFormat="1" applyFont="1" applyFill="1"/>
    <xf numFmtId="166" fontId="20" fillId="12" borderId="5" xfId="1" applyNumberFormat="1" applyFont="1" applyFill="1" applyBorder="1"/>
    <xf numFmtId="44" fontId="20" fillId="12" borderId="4" xfId="0" applyNumberFormat="1" applyFont="1" applyFill="1" applyBorder="1"/>
    <xf numFmtId="44" fontId="20" fillId="12" borderId="5" xfId="0" applyNumberFormat="1" applyFont="1" applyFill="1" applyBorder="1"/>
    <xf numFmtId="166" fontId="20" fillId="12" borderId="8" xfId="1" applyNumberFormat="1" applyFont="1" applyFill="1" applyBorder="1"/>
    <xf numFmtId="0" fontId="20" fillId="12" borderId="0" xfId="2" applyFont="1" applyFill="1" applyBorder="1"/>
    <xf numFmtId="0" fontId="19" fillId="12" borderId="0" xfId="4" applyFont="1" applyFill="1" applyBorder="1"/>
    <xf numFmtId="6" fontId="19" fillId="12" borderId="9" xfId="5" applyNumberFormat="1" applyFont="1" applyFill="1"/>
    <xf numFmtId="10" fontId="20" fillId="10" borderId="9" xfId="2" applyNumberFormat="1" applyFont="1" applyFill="1"/>
    <xf numFmtId="0" fontId="20" fillId="12" borderId="9" xfId="2" applyFont="1" applyFill="1"/>
    <xf numFmtId="0" fontId="26" fillId="12" borderId="0" xfId="0" applyFont="1" applyFill="1"/>
    <xf numFmtId="2" fontId="27" fillId="12" borderId="0" xfId="0" applyNumberFormat="1" applyFont="1" applyFill="1"/>
    <xf numFmtId="0" fontId="19" fillId="12" borderId="14" xfId="4" applyFont="1" applyFill="1"/>
    <xf numFmtId="10" fontId="19" fillId="12" borderId="14" xfId="1" applyNumberFormat="1" applyFont="1" applyFill="1" applyBorder="1"/>
    <xf numFmtId="0" fontId="28" fillId="12" borderId="10" xfId="0" applyFont="1" applyFill="1" applyBorder="1" applyAlignment="1">
      <alignment horizontal="center"/>
    </xf>
    <xf numFmtId="0" fontId="26" fillId="12" borderId="10" xfId="0" applyFont="1" applyFill="1" applyBorder="1" applyAlignment="1">
      <alignment horizontal="center"/>
    </xf>
    <xf numFmtId="10" fontId="26" fillId="12" borderId="8" xfId="19" applyNumberFormat="1" applyFont="1" applyFill="1" applyBorder="1" applyAlignment="1">
      <alignment horizontal="center"/>
    </xf>
    <xf numFmtId="0" fontId="26" fillId="12" borderId="10" xfId="0" applyFont="1" applyFill="1" applyBorder="1" applyAlignment="1">
      <alignment horizontal="centerContinuous"/>
    </xf>
    <xf numFmtId="10" fontId="26" fillId="12" borderId="8" xfId="0" applyNumberFormat="1" applyFont="1" applyFill="1" applyBorder="1" applyAlignment="1">
      <alignment horizontal="center"/>
    </xf>
    <xf numFmtId="10" fontId="26" fillId="12" borderId="10" xfId="0" applyNumberFormat="1" applyFont="1" applyFill="1" applyBorder="1" applyAlignment="1">
      <alignment horizontal="center"/>
    </xf>
    <xf numFmtId="10" fontId="26" fillId="12" borderId="11" xfId="0" applyNumberFormat="1" applyFont="1" applyFill="1" applyBorder="1" applyAlignment="1">
      <alignment horizontal="center"/>
    </xf>
    <xf numFmtId="0" fontId="20" fillId="12" borderId="10" xfId="0" applyFont="1" applyFill="1" applyBorder="1" applyAlignment="1">
      <alignment horizontal="center"/>
    </xf>
    <xf numFmtId="0" fontId="26" fillId="12" borderId="10" xfId="0" applyFont="1" applyFill="1" applyBorder="1"/>
    <xf numFmtId="165" fontId="20" fillId="12" borderId="10" xfId="0" applyNumberFormat="1" applyFont="1" applyFill="1" applyBorder="1"/>
    <xf numFmtId="165" fontId="20" fillId="10" borderId="10" xfId="0" applyNumberFormat="1" applyFont="1" applyFill="1" applyBorder="1" applyAlignment="1">
      <alignment horizontal="center"/>
    </xf>
    <xf numFmtId="165" fontId="20" fillId="10" borderId="0" xfId="0" applyNumberFormat="1" applyFont="1" applyFill="1" applyAlignment="1">
      <alignment horizontal="center"/>
    </xf>
    <xf numFmtId="0" fontId="20" fillId="10" borderId="9" xfId="2" applyFont="1" applyFill="1"/>
    <xf numFmtId="10" fontId="20" fillId="10" borderId="9" xfId="1" applyNumberFormat="1" applyFont="1" applyFill="1" applyBorder="1"/>
    <xf numFmtId="0" fontId="20" fillId="10" borderId="5" xfId="0" applyFont="1" applyFill="1" applyBorder="1"/>
    <xf numFmtId="0" fontId="29" fillId="12" borderId="10" xfId="0" applyFont="1" applyFill="1" applyBorder="1" applyAlignment="1">
      <alignment wrapText="1"/>
    </xf>
    <xf numFmtId="0" fontId="29" fillId="12" borderId="10" xfId="0" applyFont="1" applyFill="1" applyBorder="1" applyAlignment="1">
      <alignment horizontal="center" wrapText="1"/>
    </xf>
    <xf numFmtId="10" fontId="29" fillId="12" borderId="10" xfId="0" applyNumberFormat="1" applyFont="1" applyFill="1" applyBorder="1" applyAlignment="1">
      <alignment horizontal="center" wrapText="1"/>
    </xf>
    <xf numFmtId="2" fontId="29" fillId="12" borderId="10" xfId="0" applyNumberFormat="1" applyFont="1" applyFill="1" applyBorder="1" applyAlignment="1">
      <alignment horizontal="center" wrapText="1"/>
    </xf>
    <xf numFmtId="0" fontId="29" fillId="12" borderId="0" xfId="0" applyFont="1" applyFill="1"/>
    <xf numFmtId="0" fontId="29" fillId="12" borderId="15" xfId="0" applyFont="1" applyFill="1" applyBorder="1" applyAlignment="1">
      <alignment horizontal="center" wrapText="1"/>
    </xf>
    <xf numFmtId="10" fontId="29" fillId="12" borderId="15" xfId="0" applyNumberFormat="1" applyFont="1" applyFill="1" applyBorder="1" applyAlignment="1">
      <alignment horizontal="center" wrapText="1"/>
    </xf>
    <xf numFmtId="2" fontId="29" fillId="12" borderId="15" xfId="0" applyNumberFormat="1" applyFont="1" applyFill="1" applyBorder="1" applyAlignment="1">
      <alignment horizontal="center" wrapText="1"/>
    </xf>
    <xf numFmtId="0" fontId="29" fillId="12" borderId="15" xfId="0" applyFont="1" applyFill="1" applyBorder="1" applyAlignment="1">
      <alignment wrapText="1"/>
    </xf>
    <xf numFmtId="0" fontId="29" fillId="12" borderId="0" xfId="0" applyFont="1" applyFill="1" applyAlignment="1">
      <alignment wrapText="1"/>
    </xf>
    <xf numFmtId="10" fontId="26" fillId="12" borderId="0" xfId="0" applyNumberFormat="1" applyFont="1" applyFill="1"/>
    <xf numFmtId="2" fontId="26" fillId="12" borderId="0" xfId="0" applyNumberFormat="1" applyFont="1" applyFill="1"/>
    <xf numFmtId="0" fontId="30" fillId="12" borderId="10" xfId="0" applyFont="1" applyFill="1" applyBorder="1"/>
    <xf numFmtId="0" fontId="31" fillId="12" borderId="10" xfId="0" applyFont="1" applyFill="1" applyBorder="1" applyAlignment="1">
      <alignment horizontal="center"/>
    </xf>
    <xf numFmtId="0" fontId="30" fillId="12" borderId="12" xfId="0" applyFont="1" applyFill="1" applyBorder="1" applyAlignment="1">
      <alignment horizontal="center"/>
    </xf>
    <xf numFmtId="0" fontId="29" fillId="12" borderId="10" xfId="0" applyFont="1" applyFill="1" applyBorder="1"/>
    <xf numFmtId="0" fontId="29" fillId="12" borderId="10" xfId="0" applyFont="1" applyFill="1" applyBorder="1" applyAlignment="1">
      <alignment horizontal="center"/>
    </xf>
    <xf numFmtId="0" fontId="20" fillId="12" borderId="10" xfId="0" applyFont="1" applyFill="1" applyBorder="1"/>
    <xf numFmtId="10" fontId="20" fillId="12" borderId="10" xfId="0" applyNumberFormat="1" applyFont="1" applyFill="1" applyBorder="1" applyAlignment="1">
      <alignment horizontal="center"/>
    </xf>
    <xf numFmtId="10" fontId="20" fillId="13" borderId="0" xfId="0" applyNumberFormat="1" applyFont="1" applyFill="1"/>
    <xf numFmtId="0" fontId="11" fillId="13" borderId="0" xfId="11" quotePrefix="1" applyFill="1"/>
    <xf numFmtId="0" fontId="21" fillId="12" borderId="0" xfId="11" applyFont="1" applyFill="1" applyAlignment="1">
      <alignment horizontal="center"/>
    </xf>
    <xf numFmtId="0" fontId="20" fillId="12" borderId="0" xfId="0" applyFont="1" applyFill="1" applyAlignment="1">
      <alignment horizontal="center"/>
    </xf>
    <xf numFmtId="0" fontId="20" fillId="12" borderId="0" xfId="2" applyFont="1" applyFill="1" applyBorder="1" applyAlignment="1">
      <alignment horizontal="center"/>
    </xf>
    <xf numFmtId="0" fontId="19" fillId="12" borderId="0" xfId="5" applyFont="1" applyFill="1" applyBorder="1" applyAlignment="1">
      <alignment horizontal="center"/>
    </xf>
    <xf numFmtId="0" fontId="20" fillId="12" borderId="0" xfId="0" applyFont="1" applyFill="1" applyAlignment="1">
      <alignment horizontal="center" vertical="center"/>
    </xf>
    <xf numFmtId="0" fontId="19" fillId="12" borderId="2" xfId="0" applyFont="1" applyFill="1" applyBorder="1" applyAlignment="1">
      <alignment horizontal="center"/>
    </xf>
    <xf numFmtId="0" fontId="19" fillId="12" borderId="1" xfId="0" applyFont="1" applyFill="1" applyBorder="1" applyAlignment="1">
      <alignment horizontal="center"/>
    </xf>
    <xf numFmtId="0" fontId="19" fillId="12" borderId="3" xfId="0" applyFont="1" applyFill="1" applyBorder="1" applyAlignment="1">
      <alignment horizontal="center"/>
    </xf>
    <xf numFmtId="10" fontId="20" fillId="12" borderId="12" xfId="0" applyNumberFormat="1" applyFont="1" applyFill="1" applyBorder="1" applyAlignment="1">
      <alignment horizontal="center"/>
    </xf>
    <xf numFmtId="10" fontId="20" fillId="12" borderId="16" xfId="0" applyNumberFormat="1" applyFont="1" applyFill="1" applyBorder="1" applyAlignment="1">
      <alignment horizontal="center"/>
    </xf>
    <xf numFmtId="10" fontId="20" fillId="12" borderId="15" xfId="0" applyNumberFormat="1" applyFont="1" applyFill="1" applyBorder="1" applyAlignment="1">
      <alignment horizontal="center"/>
    </xf>
    <xf numFmtId="0" fontId="20" fillId="12" borderId="2" xfId="0" applyFont="1" applyFill="1" applyBorder="1" applyAlignment="1">
      <alignment horizontal="center"/>
    </xf>
    <xf numFmtId="0" fontId="20" fillId="12" borderId="1" xfId="0" applyFont="1" applyFill="1" applyBorder="1" applyAlignment="1">
      <alignment horizontal="center"/>
    </xf>
    <xf numFmtId="0" fontId="20" fillId="12" borderId="3" xfId="0" applyFont="1" applyFill="1" applyBorder="1" applyAlignment="1">
      <alignment horizontal="center"/>
    </xf>
    <xf numFmtId="10" fontId="20" fillId="12" borderId="6" xfId="0" applyNumberFormat="1" applyFont="1" applyFill="1" applyBorder="1" applyAlignment="1">
      <alignment horizontal="center"/>
    </xf>
    <xf numFmtId="10" fontId="20" fillId="12" borderId="7" xfId="0" applyNumberFormat="1" applyFont="1" applyFill="1" applyBorder="1" applyAlignment="1">
      <alignment horizontal="center"/>
    </xf>
    <xf numFmtId="10" fontId="20" fillId="12" borderId="8" xfId="0" applyNumberFormat="1" applyFont="1" applyFill="1" applyBorder="1" applyAlignment="1">
      <alignment horizontal="center"/>
    </xf>
    <xf numFmtId="0" fontId="21" fillId="13" borderId="2" xfId="11" applyFont="1" applyFill="1" applyBorder="1" applyAlignment="1">
      <alignment horizontal="center" vertical="center"/>
    </xf>
    <xf numFmtId="0" fontId="21" fillId="13" borderId="3" xfId="11" applyFont="1" applyFill="1" applyBorder="1" applyAlignment="1">
      <alignment horizontal="center" vertical="center"/>
    </xf>
    <xf numFmtId="0" fontId="21" fillId="13" borderId="4" xfId="11" applyFont="1" applyFill="1" applyBorder="1" applyAlignment="1">
      <alignment horizontal="center" vertical="center"/>
    </xf>
    <xf numFmtId="0" fontId="21" fillId="13" borderId="5" xfId="11" applyFont="1" applyFill="1" applyBorder="1" applyAlignment="1">
      <alignment horizontal="center" vertical="center"/>
    </xf>
    <xf numFmtId="0" fontId="21" fillId="13" borderId="6" xfId="11" applyFont="1" applyFill="1" applyBorder="1" applyAlignment="1">
      <alignment horizontal="center" vertical="center"/>
    </xf>
    <xf numFmtId="0" fontId="21" fillId="13" borderId="8" xfId="11" applyFont="1" applyFill="1" applyBorder="1" applyAlignment="1">
      <alignment horizontal="center" vertical="center"/>
    </xf>
    <xf numFmtId="0" fontId="11" fillId="13" borderId="0" xfId="11" applyFill="1"/>
    <xf numFmtId="0" fontId="11" fillId="13" borderId="0" xfId="11" applyFill="1" applyAlignment="1">
      <alignment horizontal="center"/>
    </xf>
  </cellXfs>
  <cellStyles count="27">
    <cellStyle name="20% - Accent1" xfId="6" builtinId="30"/>
    <cellStyle name="20% - Accent2" xfId="14" builtinId="34"/>
    <cellStyle name="20% - Accent4" xfId="15" builtinId="42"/>
    <cellStyle name="60% - Accent3" xfId="10" builtinId="40"/>
    <cellStyle name="60% - Accent4" xfId="25" builtinId="44"/>
    <cellStyle name="blp_column_header" xfId="21" xr:uid="{6038EC84-1F30-40DB-848A-61633B6424C1}"/>
    <cellStyle name="Calculation" xfId="5" builtinId="22"/>
    <cellStyle name="Currency" xfId="9" builtinId="4"/>
    <cellStyle name="Currency 2" xfId="18" xr:uid="{004D350A-197D-4BC1-9080-1FE8DBBFE72F}"/>
    <cellStyle name="Currency 3" xfId="24" xr:uid="{2476E2DD-D3E8-45E7-AB1B-D006019BEAFC}"/>
    <cellStyle name="Currency 4" xfId="26" xr:uid="{05E2A794-DB5C-4590-838E-669145CC630F}"/>
    <cellStyle name="Heading 1" xfId="3" builtinId="16"/>
    <cellStyle name="Hyperlink" xfId="11" builtinId="8"/>
    <cellStyle name="Hyperlink 2" xfId="16" xr:uid="{EB73328A-58A7-4241-ACF6-FA568C4AC104}"/>
    <cellStyle name="Hyperlink 3" xfId="22" xr:uid="{38AD771F-CA7F-4CF7-8231-768328932EFE}"/>
    <cellStyle name="Input" xfId="2" builtinId="20"/>
    <cellStyle name="Normal" xfId="0" builtinId="0"/>
    <cellStyle name="Normal 2" xfId="7" xr:uid="{00000000-0005-0000-0000-000030000000}"/>
    <cellStyle name="Normal 3" xfId="12" xr:uid="{8D0FDA59-13FF-469A-84C8-F8810FFC21CC}"/>
    <cellStyle name="Normal 4" xfId="17" xr:uid="{B1B828BB-D9FF-42D7-8387-72738909DF67}"/>
    <cellStyle name="Normal 5" xfId="20" xr:uid="{1ABB3550-2867-4FD6-9AAD-AD2C5A67D143}"/>
    <cellStyle name="Output" xfId="4" builtinId="21"/>
    <cellStyle name="Percent" xfId="1" builtinId="5"/>
    <cellStyle name="Percent 2" xfId="8" xr:uid="{00000000-0005-0000-0000-000031000000}"/>
    <cellStyle name="Percent 3" xfId="13" xr:uid="{FF3830E6-D376-4EE6-BB1F-493DD9CBC92F}"/>
    <cellStyle name="Percent 4" xfId="19" xr:uid="{B57CB6C2-D40D-4267-A281-11F9075B7A0E}"/>
    <cellStyle name="Percent 5" xfId="23" xr:uid="{D0740A5C-AED2-42FE-A51F-66BA3A3EB4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44</xdr:row>
      <xdr:rowOff>47625</xdr:rowOff>
    </xdr:from>
    <xdr:to>
      <xdr:col>8</xdr:col>
      <xdr:colOff>284951</xdr:colOff>
      <xdr:row>59</xdr:row>
      <xdr:rowOff>190125</xdr:rowOff>
    </xdr:to>
    <xdr:pic>
      <xdr:nvPicPr>
        <xdr:cNvPr id="2" name="Picture 1">
          <a:extLst>
            <a:ext uri="{FF2B5EF4-FFF2-40B4-BE49-F238E27FC236}">
              <a16:creationId xmlns:a16="http://schemas.microsoft.com/office/drawing/2014/main" id="{EE0095AC-EA12-4CAB-908E-5AC4D242B64A}"/>
            </a:ext>
          </a:extLst>
        </xdr:cNvPr>
        <xdr:cNvPicPr>
          <a:picLocks noChangeAspect="1"/>
        </xdr:cNvPicPr>
      </xdr:nvPicPr>
      <xdr:blipFill>
        <a:blip xmlns:r="http://schemas.openxmlformats.org/officeDocument/2006/relationships" r:embed="rId1"/>
        <a:stretch>
          <a:fillRect/>
        </a:stretch>
      </xdr:blipFill>
      <xdr:spPr>
        <a:xfrm>
          <a:off x="2047875" y="8505825"/>
          <a:ext cx="6390476" cy="3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0</xdr:row>
      <xdr:rowOff>47625</xdr:rowOff>
    </xdr:from>
    <xdr:to>
      <xdr:col>10</xdr:col>
      <xdr:colOff>793059</xdr:colOff>
      <xdr:row>23</xdr:row>
      <xdr:rowOff>85725</xdr:rowOff>
    </xdr:to>
    <xdr:pic>
      <xdr:nvPicPr>
        <xdr:cNvPr id="2" name="Picture 1">
          <a:extLst>
            <a:ext uri="{FF2B5EF4-FFF2-40B4-BE49-F238E27FC236}">
              <a16:creationId xmlns:a16="http://schemas.microsoft.com/office/drawing/2014/main" id="{E05E6074-D7F9-47C7-8C2F-C7F0729923B9}"/>
            </a:ext>
          </a:extLst>
        </xdr:cNvPr>
        <xdr:cNvPicPr>
          <a:picLocks noChangeAspect="1"/>
        </xdr:cNvPicPr>
      </xdr:nvPicPr>
      <xdr:blipFill>
        <a:blip xmlns:r="http://schemas.openxmlformats.org/officeDocument/2006/relationships" r:embed="rId1"/>
        <a:stretch>
          <a:fillRect/>
        </a:stretch>
      </xdr:blipFill>
      <xdr:spPr>
        <a:xfrm>
          <a:off x="485775" y="47625"/>
          <a:ext cx="7746309" cy="4419600"/>
        </a:xfrm>
        <a:prstGeom prst="rect">
          <a:avLst/>
        </a:prstGeom>
      </xdr:spPr>
    </xdr:pic>
    <xdr:clientData/>
  </xdr:twoCellAnchor>
  <xdr:twoCellAnchor>
    <xdr:from>
      <xdr:col>14</xdr:col>
      <xdr:colOff>38101</xdr:colOff>
      <xdr:row>25</xdr:row>
      <xdr:rowOff>123825</xdr:rowOff>
    </xdr:from>
    <xdr:to>
      <xdr:col>19</xdr:col>
      <xdr:colOff>523876</xdr:colOff>
      <xdr:row>35</xdr:row>
      <xdr:rowOff>85725</xdr:rowOff>
    </xdr:to>
    <xdr:sp macro="" textlink="">
      <xdr:nvSpPr>
        <xdr:cNvPr id="3" name="TextBox 2">
          <a:extLst>
            <a:ext uri="{FF2B5EF4-FFF2-40B4-BE49-F238E27FC236}">
              <a16:creationId xmlns:a16="http://schemas.microsoft.com/office/drawing/2014/main" id="{C3DFA33B-3B3E-4E34-A32C-FA390355587F}"/>
            </a:ext>
          </a:extLst>
        </xdr:cNvPr>
        <xdr:cNvSpPr txBox="1"/>
      </xdr:nvSpPr>
      <xdr:spPr>
        <a:xfrm>
          <a:off x="9229726" y="4886325"/>
          <a:ext cx="4019550" cy="1866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endParaRPr lang="en-US" sz="1100" baseline="0"/>
        </a:p>
      </xdr:txBody>
    </xdr:sp>
    <xdr:clientData/>
  </xdr:twoCellAnchor>
  <xdr:twoCellAnchor editAs="oneCell">
    <xdr:from>
      <xdr:col>12</xdr:col>
      <xdr:colOff>581026</xdr:colOff>
      <xdr:row>38</xdr:row>
      <xdr:rowOff>114301</xdr:rowOff>
    </xdr:from>
    <xdr:to>
      <xdr:col>22</xdr:col>
      <xdr:colOff>1019242</xdr:colOff>
      <xdr:row>62</xdr:row>
      <xdr:rowOff>171451</xdr:rowOff>
    </xdr:to>
    <xdr:pic>
      <xdr:nvPicPr>
        <xdr:cNvPr id="4" name="Picture 3">
          <a:extLst>
            <a:ext uri="{FF2B5EF4-FFF2-40B4-BE49-F238E27FC236}">
              <a16:creationId xmlns:a16="http://schemas.microsoft.com/office/drawing/2014/main" id="{59D14E66-420A-4C8E-A19B-92E3E75D261E}"/>
            </a:ext>
          </a:extLst>
        </xdr:cNvPr>
        <xdr:cNvPicPr>
          <a:picLocks noChangeAspect="1"/>
        </xdr:cNvPicPr>
      </xdr:nvPicPr>
      <xdr:blipFill>
        <a:blip xmlns:r="http://schemas.openxmlformats.org/officeDocument/2006/relationships" r:embed="rId2"/>
        <a:stretch>
          <a:fillRect/>
        </a:stretch>
      </xdr:blipFill>
      <xdr:spPr>
        <a:xfrm>
          <a:off x="8210551" y="7353301"/>
          <a:ext cx="7048566" cy="4629150"/>
        </a:xfrm>
        <a:prstGeom prst="rect">
          <a:avLst/>
        </a:prstGeom>
      </xdr:spPr>
    </xdr:pic>
    <xdr:clientData/>
  </xdr:twoCellAnchor>
  <xdr:twoCellAnchor editAs="oneCell">
    <xdr:from>
      <xdr:col>0</xdr:col>
      <xdr:colOff>247650</xdr:colOff>
      <xdr:row>67</xdr:row>
      <xdr:rowOff>123826</xdr:rowOff>
    </xdr:from>
    <xdr:to>
      <xdr:col>7</xdr:col>
      <xdr:colOff>594116</xdr:colOff>
      <xdr:row>88</xdr:row>
      <xdr:rowOff>47626</xdr:rowOff>
    </xdr:to>
    <xdr:pic>
      <xdr:nvPicPr>
        <xdr:cNvPr id="5" name="Picture 4">
          <a:extLst>
            <a:ext uri="{FF2B5EF4-FFF2-40B4-BE49-F238E27FC236}">
              <a16:creationId xmlns:a16="http://schemas.microsoft.com/office/drawing/2014/main" id="{1D0DE4BF-5D60-4351-BB24-D9C1043E4305}"/>
            </a:ext>
          </a:extLst>
        </xdr:cNvPr>
        <xdr:cNvPicPr>
          <a:picLocks noChangeAspect="1"/>
        </xdr:cNvPicPr>
      </xdr:nvPicPr>
      <xdr:blipFill>
        <a:blip xmlns:r="http://schemas.openxmlformats.org/officeDocument/2006/relationships" r:embed="rId3"/>
        <a:stretch>
          <a:fillRect/>
        </a:stretch>
      </xdr:blipFill>
      <xdr:spPr>
        <a:xfrm>
          <a:off x="247650" y="12887326"/>
          <a:ext cx="5785241" cy="3924300"/>
        </a:xfrm>
        <a:prstGeom prst="rect">
          <a:avLst/>
        </a:prstGeom>
      </xdr:spPr>
    </xdr:pic>
    <xdr:clientData/>
  </xdr:twoCellAnchor>
  <xdr:twoCellAnchor>
    <xdr:from>
      <xdr:col>13</xdr:col>
      <xdr:colOff>152400</xdr:colOff>
      <xdr:row>66</xdr:row>
      <xdr:rowOff>180973</xdr:rowOff>
    </xdr:from>
    <xdr:to>
      <xdr:col>22</xdr:col>
      <xdr:colOff>923925</xdr:colOff>
      <xdr:row>108</xdr:row>
      <xdr:rowOff>142875</xdr:rowOff>
    </xdr:to>
    <xdr:sp macro="" textlink="">
      <xdr:nvSpPr>
        <xdr:cNvPr id="6" name="TextBox 5">
          <a:extLst>
            <a:ext uri="{FF2B5EF4-FFF2-40B4-BE49-F238E27FC236}">
              <a16:creationId xmlns:a16="http://schemas.microsoft.com/office/drawing/2014/main" id="{9F0877A8-DAEA-42D4-8943-912F66F6AB40}"/>
            </a:ext>
          </a:extLst>
        </xdr:cNvPr>
        <xdr:cNvSpPr txBox="1"/>
      </xdr:nvSpPr>
      <xdr:spPr>
        <a:xfrm>
          <a:off x="8391525" y="12753973"/>
          <a:ext cx="6267450" cy="79629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ROIC</a:t>
          </a:r>
        </a:p>
        <a:p>
          <a:r>
            <a:rPr lang="en-US" sz="1100" b="0" i="0">
              <a:solidFill>
                <a:schemeClr val="dk1"/>
              </a:solidFill>
              <a:effectLst/>
              <a:latin typeface="+mn-lt"/>
              <a:ea typeface="+mn-ea"/>
              <a:cs typeface="+mn-cs"/>
            </a:rPr>
            <a:t>As a simple illustration, a company with an average 10% ROIC needs to invest 50% of their earnings to grow 5% (10%*50%=5%). </a:t>
          </a:r>
        </a:p>
        <a:p>
          <a:r>
            <a:rPr lang="en-US" sz="1100" b="0" i="0">
              <a:solidFill>
                <a:schemeClr val="dk1"/>
              </a:solidFill>
              <a:effectLst/>
              <a:latin typeface="+mn-lt"/>
              <a:ea typeface="+mn-ea"/>
              <a:cs typeface="+mn-cs"/>
            </a:rPr>
            <a:t>A company with a 50% ROIC only needs to reinvest 10% of earnings to grow 5% (50%*10%=5%).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former case, $0.50 of every dollar of earnings is not needed to fund growth, while in the latter case $0.90 is not needed to fund growth.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This means that the higher ROIC company will generate 80% more free cash flow than the average ROIC company making the company 80% more valuable. </a:t>
          </a:r>
        </a:p>
        <a:p>
          <a:r>
            <a:rPr lang="en-US" sz="1100" b="0" i="0">
              <a:solidFill>
                <a:schemeClr val="dk1"/>
              </a:solidFill>
              <a:effectLst/>
              <a:latin typeface="+mn-lt"/>
              <a:ea typeface="+mn-ea"/>
              <a:cs typeface="+mn-cs"/>
            </a:rPr>
            <a:t>This is why we focus on ROIC in our analysis.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High ROIC businesses are significantly more valuable than average ROIC companies even when they produce the same level of growth.</a:t>
          </a:r>
        </a:p>
        <a:p>
          <a:endParaRPr lang="en-US" sz="1100" b="0" i="0">
            <a:solidFill>
              <a:schemeClr val="dk1"/>
            </a:solidFill>
            <a:effectLst/>
            <a:latin typeface="+mn-lt"/>
            <a:ea typeface="+mn-ea"/>
            <a:cs typeface="+mn-cs"/>
          </a:endParaRPr>
        </a:p>
        <a:p>
          <a:r>
            <a:rPr lang="en-US" sz="1100"/>
            <a:t>This isn’t just an academic exercise. The higher ROIC=higher value theory is apparent in market prices. </a:t>
          </a:r>
        </a:p>
        <a:p>
          <a:endParaRPr lang="en-US" sz="1100"/>
        </a:p>
        <a:p>
          <a:r>
            <a:rPr lang="en-US" sz="1100"/>
            <a:t>For instance, the payroll processing company Paychex has been awarded a high valuation by the market over time even while generating modest growth. But Paychex generates near 100% returns on invested capital. </a:t>
          </a:r>
        </a:p>
        <a:p>
          <a:endParaRPr lang="en-US" sz="1100"/>
        </a:p>
        <a:p>
          <a:r>
            <a:rPr lang="en-US" sz="1100"/>
            <a:t>Using the math in the example above, we can see that the stock should trade at a PE multiple of about 90% above the average stock. 100%*5%=5%, so 95% of earnings are available to distribute to shareholders. 95%/50%=90% premium. (1.9X)</a:t>
          </a:r>
        </a:p>
        <a:p>
          <a:endParaRPr lang="en-US" sz="1100"/>
        </a:p>
        <a:p>
          <a:r>
            <a:rPr lang="en-US" sz="1100"/>
            <a:t>ROIC isn’t a secret formula. But its value is deeply under appreciated by most investors. That’s why so many Wall Street analysts have regularly under estimated the value of the business. In many Street reports on Paychex, the analyst acknowledges the quality of the business, but points to the modest growth rate to argue that since it is pretty similar to the growth rate of the overall market, Paychex should also have a market like PE ratio. </a:t>
          </a:r>
        </a:p>
        <a:p>
          <a:endParaRPr lang="en-US" sz="1100"/>
        </a:p>
        <a:p>
          <a:r>
            <a:rPr lang="en-US" sz="1100"/>
            <a:t>But as we just showed, a company with the ROIC profile of Paychex should trade at a much higher PE ratio than the average company even if their growth rate is similar to the average company. And we’ve shown this is actually how the market prices stocks even if many investors underappreciated the value of ROIC.</a:t>
          </a:r>
        </a:p>
        <a:p>
          <a:endParaRPr lang="en-US" sz="1100"/>
        </a:p>
        <a:p>
          <a:r>
            <a:rPr lang="en-US" sz="1100" b="0" i="0">
              <a:solidFill>
                <a:schemeClr val="dk1"/>
              </a:solidFill>
              <a:effectLst/>
              <a:latin typeface="+mn-lt"/>
              <a:ea typeface="+mn-ea"/>
              <a:cs typeface="+mn-cs"/>
            </a:rPr>
            <a:t>However, ROIC is only valuable if there is growth available and so it is productive to reinvest your earnings.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If we use the exact same example as above, but you assume 1% growth you get a company with an average 10% ROIC needs to invest 10% of their earnings to grow 1% (10%*10%=1%).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A company with a 50% ROIC only needs to reinvest 2% of earnings to growth 1% (50%*2%=1%).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former case, $0.90 of every dollar is not needed to fund growth, while in the latter case $0.98 is not needed to fund growth. This means that the higher ROIC company will generate 9% more free cash flow than the average ROIC company making the company 9% more valuable.</a:t>
          </a:r>
          <a:endParaRPr lang="en-US" sz="1100"/>
        </a:p>
      </xdr:txBody>
    </xdr:sp>
    <xdr:clientData/>
  </xdr:twoCellAnchor>
  <xdr:twoCellAnchor editAs="oneCell">
    <xdr:from>
      <xdr:col>2</xdr:col>
      <xdr:colOff>66675</xdr:colOff>
      <xdr:row>100</xdr:row>
      <xdr:rowOff>38100</xdr:rowOff>
    </xdr:from>
    <xdr:to>
      <xdr:col>5</xdr:col>
      <xdr:colOff>581025</xdr:colOff>
      <xdr:row>106</xdr:row>
      <xdr:rowOff>65834</xdr:rowOff>
    </xdr:to>
    <xdr:pic>
      <xdr:nvPicPr>
        <xdr:cNvPr id="7" name="Picture 6">
          <a:extLst>
            <a:ext uri="{FF2B5EF4-FFF2-40B4-BE49-F238E27FC236}">
              <a16:creationId xmlns:a16="http://schemas.microsoft.com/office/drawing/2014/main" id="{144CA168-599F-4D68-BD84-20801E18F116}"/>
            </a:ext>
          </a:extLst>
        </xdr:cNvPr>
        <xdr:cNvPicPr>
          <a:picLocks noChangeAspect="1"/>
        </xdr:cNvPicPr>
      </xdr:nvPicPr>
      <xdr:blipFill>
        <a:blip xmlns:r="http://schemas.openxmlformats.org/officeDocument/2006/relationships" r:embed="rId4"/>
        <a:stretch>
          <a:fillRect/>
        </a:stretch>
      </xdr:blipFill>
      <xdr:spPr>
        <a:xfrm>
          <a:off x="1285875" y="19088100"/>
          <a:ext cx="3000375" cy="1170734"/>
        </a:xfrm>
        <a:prstGeom prst="rect">
          <a:avLst/>
        </a:prstGeom>
      </xdr:spPr>
    </xdr:pic>
    <xdr:clientData/>
  </xdr:twoCellAnchor>
  <xdr:twoCellAnchor editAs="oneCell">
    <xdr:from>
      <xdr:col>2</xdr:col>
      <xdr:colOff>114300</xdr:colOff>
      <xdr:row>107</xdr:row>
      <xdr:rowOff>9525</xdr:rowOff>
    </xdr:from>
    <xdr:to>
      <xdr:col>8</xdr:col>
      <xdr:colOff>619125</xdr:colOff>
      <xdr:row>115</xdr:row>
      <xdr:rowOff>51875</xdr:rowOff>
    </xdr:to>
    <xdr:pic>
      <xdr:nvPicPr>
        <xdr:cNvPr id="8" name="Picture 7">
          <a:extLst>
            <a:ext uri="{FF2B5EF4-FFF2-40B4-BE49-F238E27FC236}">
              <a16:creationId xmlns:a16="http://schemas.microsoft.com/office/drawing/2014/main" id="{2156D8A9-E761-4240-AAF7-7E88FF7342FA}"/>
            </a:ext>
          </a:extLst>
        </xdr:cNvPr>
        <xdr:cNvPicPr>
          <a:picLocks noChangeAspect="1"/>
        </xdr:cNvPicPr>
      </xdr:nvPicPr>
      <xdr:blipFill>
        <a:blip xmlns:r="http://schemas.openxmlformats.org/officeDocument/2006/relationships" r:embed="rId5"/>
        <a:stretch>
          <a:fillRect/>
        </a:stretch>
      </xdr:blipFill>
      <xdr:spPr>
        <a:xfrm>
          <a:off x="1333500" y="20393025"/>
          <a:ext cx="4848225" cy="1566350"/>
        </a:xfrm>
        <a:prstGeom prst="rect">
          <a:avLst/>
        </a:prstGeom>
      </xdr:spPr>
    </xdr:pic>
    <xdr:clientData/>
  </xdr:twoCellAnchor>
  <xdr:twoCellAnchor>
    <xdr:from>
      <xdr:col>2</xdr:col>
      <xdr:colOff>28574</xdr:colOff>
      <xdr:row>116</xdr:row>
      <xdr:rowOff>0</xdr:rowOff>
    </xdr:from>
    <xdr:to>
      <xdr:col>18</xdr:col>
      <xdr:colOff>457200</xdr:colOff>
      <xdr:row>153</xdr:row>
      <xdr:rowOff>95250</xdr:rowOff>
    </xdr:to>
    <xdr:sp macro="" textlink="">
      <xdr:nvSpPr>
        <xdr:cNvPr id="9" name="TextBox 8">
          <a:extLst>
            <a:ext uri="{FF2B5EF4-FFF2-40B4-BE49-F238E27FC236}">
              <a16:creationId xmlns:a16="http://schemas.microsoft.com/office/drawing/2014/main" id="{80C74027-8FD6-42DD-819E-4223CD2EDDE4}"/>
            </a:ext>
          </a:extLst>
        </xdr:cNvPr>
        <xdr:cNvSpPr txBox="1"/>
      </xdr:nvSpPr>
      <xdr:spPr>
        <a:xfrm>
          <a:off x="1247774" y="22098000"/>
          <a:ext cx="10496551" cy="714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1. We note that your Non-GAAP measures for Adjusted Operating income (Non-GAAP), Adjusted Operating income margin (Non-GAAP), Adjusted Net earnings (Non-GAAP) and Adjusted earnings per share (Non-GAAP) include an adjustment to eliminate the portion of your amortization expense related to acquired intangibles and purchased intellectual property. Please tell us in detail why you present this adjustment in your Non-GAAP measures and how you considered the guidance in Question 100.04 of April 4, 2018 Compliance and Disclosure Interpretations on Non-GAAP Financial Measures available on our website at https://www.sec.gov/divisions/corpfin/guidance/nongaapinginterp.htm. Adjusting for a portion of your GAAP amortization and depreciation expense appears to create an individually tailored recognition and measurement method for amortization of the related acquired intangible assets and intellectual property. We may have further comment after reviewing your response.</a:t>
          </a:r>
        </a:p>
        <a:p>
          <a:br>
            <a:rPr lang="en-US" sz="1100"/>
          </a:br>
          <a:endParaRPr lang="en-US" sz="1100"/>
        </a:p>
        <a:p>
          <a:r>
            <a:rPr lang="en-US" sz="1100" b="1"/>
            <a:t>The Company believes </a:t>
          </a:r>
          <a:r>
            <a:rPr lang="en-US" sz="1100"/>
            <a:t>its treatment of the amortization of acquired intangibles and purchased intellectual property adjustment is not an individually tailored expense recognition or measurement method precluded by the guidance of Question 100.04 of the Compliance and Disclosure Interpretations on Non-GAAP Financial Measures (“CDI 100.04”) for the following reasons:</a:t>
          </a:r>
        </a:p>
        <a:p>
          <a:br>
            <a:rPr lang="en-US" sz="1100"/>
          </a:br>
          <a:endParaRPr lang="en-US" sz="1100"/>
        </a:p>
        <a:p>
          <a:r>
            <a:rPr lang="en-US" sz="1100"/>
            <a:t>a)</a:t>
          </a:r>
        </a:p>
        <a:p>
          <a:r>
            <a:rPr lang="en-US" sz="1100"/>
            <a:t>Amortization of acquired intangibles and purchased intellectual property is a GAAP amount and the adjustment to produce the referenced Non-GAAP measures merely sums two separately disclosed GAAP amounts (net income and amortization of acquired intangibles and purchased intellectual property). The referenced Non-GAAP measures derive entirely from two GAAP amounts and not from a fundamentally different basis of accounting or an individually tailored method of accounting.</a:t>
          </a:r>
        </a:p>
        <a:p>
          <a:br>
            <a:rPr lang="en-US" sz="1100"/>
          </a:br>
          <a:endParaRPr lang="en-US" sz="1100"/>
        </a:p>
        <a:p>
          <a:r>
            <a:rPr lang="en-US" sz="1100"/>
            <a:t>b)</a:t>
          </a:r>
        </a:p>
        <a:p>
          <a:r>
            <a:rPr lang="en-US" sz="1100"/>
            <a:t>The Company’s approach does not result in the acceleration of revenue or the delayed recognition of costs.</a:t>
          </a:r>
        </a:p>
        <a:p>
          <a:br>
            <a:rPr lang="en-US" sz="1100"/>
          </a:br>
          <a:endParaRPr lang="en-US" sz="1100"/>
        </a:p>
        <a:p>
          <a:r>
            <a:rPr lang="en-US" sz="1100"/>
            <a:t>c)</a:t>
          </a:r>
        </a:p>
        <a:p>
          <a:r>
            <a:rPr lang="en-US" sz="1100"/>
            <a:t>The adjustment to exclude amortization of acquired intangibles and purchased intellectual property has been consistently applied by the Company to all of its acquisitions.</a:t>
          </a:r>
        </a:p>
        <a:p>
          <a:br>
            <a:rPr lang="en-US" sz="1100"/>
          </a:br>
          <a:endParaRPr lang="en-US" sz="1100"/>
        </a:p>
        <a:p>
          <a:r>
            <a:rPr lang="en-US" sz="1100"/>
            <a:t>The Company believes it is useful to differentiate acquired intangible assets and purchased intellectual property from other assets. Acquired intangible assets by their nature are different from other intangibles (such as purchased software licenses) or property and equipment, that are replaced on a regular basis as the assets expire. The costs to operate, maintain and extend the life of acquired intangible assets and purchased intellectual property are reflected in the Company’s operating “run-rate” costs as labor, facilities, overhead, etc. Consequently, the Company’s management uses the referenced Non-GAAP measures as a means of (i) evaluating ongoing operations including for internal planning and forecasting purposes, (ii) compensating management, (iii) predicting future cash flows and assessing the underlying value of our operations, and (iv) comparing operating performance across businesses that were created with different mixes of acquisitions to allow for a more consistent measure of performance on a period-over-period basis.</a:t>
          </a:r>
        </a:p>
        <a:p>
          <a:br>
            <a:rPr lang="en-US" sz="1100"/>
          </a:br>
          <a:r>
            <a:rPr lang="en-US" sz="1100"/>
            <a:t>The Company’s management believes that the referenced Non-GAAP measures are also useful to investors and investment analysts by providing them with important transparency into our ongoing operating results, thereby enabling them to better compare our operating performance with the operating performance of our peer companies. The Company regularly tracks 12 public company peers for performance evaluation and analysis purposes and notes that 10 of those 12 peer companies make similar adjustments for acquired intangible asset amortization in the calculation of Non-GAAP measures. The Company notes that the adjustment of acquired intangible asset amortization seems to be commonly used as the impact of such amortization can vary significantly from company to company depending upon the nature and extent of acquisition activity.</a:t>
          </a:r>
        </a:p>
      </xdr:txBody>
    </xdr:sp>
    <xdr:clientData/>
  </xdr:twoCellAnchor>
  <xdr:twoCellAnchor>
    <xdr:from>
      <xdr:col>1</xdr:col>
      <xdr:colOff>466725</xdr:colOff>
      <xdr:row>155</xdr:row>
      <xdr:rowOff>133350</xdr:rowOff>
    </xdr:from>
    <xdr:to>
      <xdr:col>17</xdr:col>
      <xdr:colOff>247650</xdr:colOff>
      <xdr:row>187</xdr:row>
      <xdr:rowOff>142875</xdr:rowOff>
    </xdr:to>
    <xdr:sp macro="" textlink="">
      <xdr:nvSpPr>
        <xdr:cNvPr id="10" name="TextBox 9">
          <a:extLst>
            <a:ext uri="{FF2B5EF4-FFF2-40B4-BE49-F238E27FC236}">
              <a16:creationId xmlns:a16="http://schemas.microsoft.com/office/drawing/2014/main" id="{BEFEE889-C527-4597-8EB4-6B8F33082CD5}"/>
            </a:ext>
          </a:extLst>
        </xdr:cNvPr>
        <xdr:cNvSpPr txBox="1"/>
      </xdr:nvSpPr>
      <xdr:spPr>
        <a:xfrm>
          <a:off x="1076325" y="29660850"/>
          <a:ext cx="9848850" cy="6105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Acquisitions are an important component of the Company's growth and investment strategy, and one of management's key goals is to make smart, high return investments with good financial discipline. In support of this strategy, the board of directors does not want management overly focused on the dilutive effect of the non-cash amortization associated with acquired intangible assets because of the belief that non-cash amortization associated with intangible assets does not reflect the Company's ordinary operations. It is the Company's view that acquired intangible assets by their nature are fundamentally different from other depreciating assets that are replaced on a predictable cycle. Unlike other depreciating assets, such as purchased software licenses or property and equipment, there is no replacement cost once acquired intangible assets expire as the assets are not replaced. Additionally, the costs to operate, maintain and extend the life of acquired intangible assets and purchased intellectual property are reflected in the Company's operating "run-rate" costs as labor, facilities, overhead, etc. For this reason, the Company has developed, publicly discloses and internally uses the referenced Non-GAAP measures that exclude the impact of non-cash amortization associated with acquired intangible assets and further evidences the usefulness of the referenced Non-GAAP measures through the following means:</a:t>
          </a:r>
        </a:p>
        <a:p>
          <a:endParaRPr lang="en-US" sz="1100"/>
        </a:p>
        <a:p>
          <a:r>
            <a:rPr lang="en-US" sz="1100"/>
            <a:t>a)</a:t>
          </a:r>
        </a:p>
        <a:p>
          <a:r>
            <a:rPr lang="en-US" sz="1100"/>
            <a:t>Dividends</a:t>
          </a:r>
        </a:p>
        <a:p>
          <a:r>
            <a:rPr lang="en-US" sz="1100"/>
            <a:t>By design, the policy does not consider the impact of amortization of acquired intangibles and purchased intellectual property because this expense does not impact the Company's ability to pay or sustain a dividend. We note that having a fixed payout against Adjusted earnings per share enables a high certainty and relative dividend payout, which investors have told us they value.</a:t>
          </a:r>
        </a:p>
        <a:p>
          <a:br>
            <a:rPr lang="en-US" sz="1100"/>
          </a:br>
          <a:r>
            <a:rPr lang="en-US" sz="1100"/>
            <a:t>b)</a:t>
          </a:r>
        </a:p>
        <a:p>
          <a:r>
            <a:rPr lang="en-US" sz="1100"/>
            <a:t>Management Compensation— In order to incentivize management to make sound investment decisions and focus on long-term financial growth, the Company's board of directors uses adjusted earnings metrics, including certain of the referenced Non-GAAP measures, when setting performance targets for, and measuring the achievement of, the Company's performance-based restricted stock units as well as determining performance achievement pertaining to management annual cash bonuses. Adjusted earnings per share is the key metric that Broadridge's board of directors uses for compensation purposes in order to align management with the interests of shareholders. Correspondingly, Adjusted earnings per share is a metric that investors and analysts focus on in their performance assessments.  The adjusted earnings metrics exclude the impact of amortization of acquired intangibles and purchased intellectual property.  </a:t>
          </a:r>
          <a:r>
            <a:rPr lang="en-US" sz="1100" b="1"/>
            <a:t>As noted above, the Company's board of directors wants to incentivize management to make appropriate capital allocation decisions free from the burden of near-term earnings metrics that may experience dilution from non-cash amortization expenses attributed to recent acquisitions. </a:t>
          </a:r>
          <a:r>
            <a:rPr lang="en-US" sz="1100"/>
            <a:t>Additionally, the Company's board of directors does not want to reward management in periods when amortization is expected to decline.  It is for this reason that approximately half of the Company's long-term incentives include adjusted earnings metrics that exclude acquisition amortization.</a:t>
          </a:r>
        </a:p>
        <a:p>
          <a:br>
            <a:rPr lang="en-US" sz="1100"/>
          </a:br>
          <a:r>
            <a:rPr lang="en-US" sz="1100"/>
            <a:t>d)</a:t>
          </a:r>
        </a:p>
        <a:p>
          <a:r>
            <a:rPr lang="en-US" sz="1100"/>
            <a:t>Equity valuation—The Company, in conjunction with a well-known investment bank and management consultancy firm, has studied how the investment community values the Company and its peers. This study is supported by meetings with dozens of investors each year.  We believe that our investors primarily evaluate the Company's equity valuation through a price/earnings multiple, where the earnings portion of the multiple is adjusted to exclude the impact of acquisition amortization.  We understand that investors view our peer group companies in a similar manner in order to benchmark the valuation and operating performance of all these companies consistently.</a:t>
          </a:r>
        </a:p>
        <a:p>
          <a:endParaRPr lang="en-US" sz="1100"/>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333375</xdr:colOff>
      <xdr:row>1</xdr:row>
      <xdr:rowOff>76200</xdr:rowOff>
    </xdr:from>
    <xdr:to>
      <xdr:col>22</xdr:col>
      <xdr:colOff>233527</xdr:colOff>
      <xdr:row>21</xdr:row>
      <xdr:rowOff>76200</xdr:rowOff>
    </xdr:to>
    <xdr:pic>
      <xdr:nvPicPr>
        <xdr:cNvPr id="2" name="Picture 1">
          <a:extLst>
            <a:ext uri="{FF2B5EF4-FFF2-40B4-BE49-F238E27FC236}">
              <a16:creationId xmlns:a16="http://schemas.microsoft.com/office/drawing/2014/main" id="{4C1A3F09-4010-492A-A898-0D287EB7086E}"/>
            </a:ext>
          </a:extLst>
        </xdr:cNvPr>
        <xdr:cNvPicPr>
          <a:picLocks noChangeAspect="1"/>
        </xdr:cNvPicPr>
      </xdr:nvPicPr>
      <xdr:blipFill>
        <a:blip xmlns:r="http://schemas.openxmlformats.org/officeDocument/2006/relationships" r:embed="rId1"/>
        <a:stretch>
          <a:fillRect/>
        </a:stretch>
      </xdr:blipFill>
      <xdr:spPr>
        <a:xfrm>
          <a:off x="9848850" y="266700"/>
          <a:ext cx="5386552" cy="381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youtube.com/watch?v=F9GfXJ-IrSA" TargetMode="External"/><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7.bin"/><Relationship Id="rId1" Type="http://schemas.openxmlformats.org/officeDocument/2006/relationships/hyperlink" Target="http://people.stern.nyu.edu/adamodar/New_Home_Page/home.htm" TargetMode="External"/><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4250A-588F-42FE-B7D5-4FD491011502}">
  <sheetPr>
    <tabColor theme="4" tint="0.39997558519241921"/>
  </sheetPr>
  <dimension ref="A1:R56"/>
  <sheetViews>
    <sheetView workbookViewId="0"/>
  </sheetViews>
  <sheetFormatPr defaultRowHeight="15"/>
  <cols>
    <col min="1" max="1" width="57.85546875" style="3" bestFit="1" customWidth="1"/>
    <col min="2" max="2" width="20" style="3" bestFit="1" customWidth="1"/>
    <col min="3" max="3" width="12.5703125" style="3" bestFit="1" customWidth="1"/>
    <col min="4" max="4" width="25.28515625" style="3" customWidth="1"/>
    <col min="5" max="7" width="9.140625" style="3"/>
    <col min="8" max="8" width="27.5703125" style="3" customWidth="1"/>
    <col min="9" max="9" width="16.85546875" style="3" customWidth="1"/>
    <col min="10" max="10" width="17.7109375" style="3" customWidth="1"/>
    <col min="11" max="11" width="17.140625" style="3" customWidth="1"/>
    <col min="12" max="15" width="9.140625" style="3"/>
    <col min="16" max="16" width="11.28515625" style="3" customWidth="1"/>
    <col min="17" max="17" width="15.28515625" style="3" customWidth="1"/>
    <col min="18" max="18" width="14.7109375" style="3" customWidth="1"/>
    <col min="19" max="16384" width="9.140625" style="3"/>
  </cols>
  <sheetData>
    <row r="1" spans="1:10">
      <c r="A1" s="1" t="s">
        <v>0</v>
      </c>
      <c r="B1" s="2">
        <v>45328</v>
      </c>
      <c r="H1" s="114" t="s">
        <v>673</v>
      </c>
      <c r="I1" s="114"/>
      <c r="J1" s="114"/>
    </row>
    <row r="2" spans="1:10" ht="15.75">
      <c r="A2" s="4" t="s">
        <v>1</v>
      </c>
      <c r="B2" s="5" t="s">
        <v>675</v>
      </c>
      <c r="H2" s="115"/>
      <c r="I2" s="115"/>
      <c r="J2" s="118"/>
    </row>
    <row r="3" spans="1:10">
      <c r="A3" s="3" t="s">
        <v>32</v>
      </c>
      <c r="H3" s="116"/>
      <c r="I3" s="116"/>
      <c r="J3" s="118"/>
    </row>
    <row r="4" spans="1:10">
      <c r="B4" s="1" t="s">
        <v>33</v>
      </c>
      <c r="C4" s="1" t="s">
        <v>34</v>
      </c>
      <c r="H4" s="117"/>
      <c r="I4" s="117"/>
      <c r="J4" s="118"/>
    </row>
    <row r="5" spans="1:10">
      <c r="A5" s="3" t="s">
        <v>2</v>
      </c>
      <c r="B5" s="6" t="s">
        <v>193</v>
      </c>
    </row>
    <row r="6" spans="1:10">
      <c r="A6" s="3" t="s">
        <v>3</v>
      </c>
      <c r="B6" s="6" t="s">
        <v>211</v>
      </c>
    </row>
    <row r="7" spans="1:10">
      <c r="A7" s="3" t="s">
        <v>4</v>
      </c>
      <c r="B7" s="6" t="s">
        <v>211</v>
      </c>
      <c r="D7" s="3" t="s">
        <v>293</v>
      </c>
    </row>
    <row r="8" spans="1:10">
      <c r="A8" s="3" t="s">
        <v>5</v>
      </c>
      <c r="B8" s="7">
        <v>777.66</v>
      </c>
      <c r="C8" s="7">
        <v>757.9</v>
      </c>
      <c r="D8" s="8">
        <v>0.75</v>
      </c>
      <c r="E8" s="137" t="s">
        <v>676</v>
      </c>
    </row>
    <row r="9" spans="1:10">
      <c r="A9" s="3" t="s">
        <v>6</v>
      </c>
      <c r="B9" s="7">
        <v>154.55000000000001</v>
      </c>
      <c r="C9" s="7">
        <v>139.07</v>
      </c>
      <c r="D9" s="8">
        <v>0.75</v>
      </c>
    </row>
    <row r="10" spans="1:10">
      <c r="A10" s="3" t="s">
        <v>7</v>
      </c>
      <c r="B10" s="7">
        <v>14.19</v>
      </c>
      <c r="C10" s="7">
        <v>13.2</v>
      </c>
    </row>
    <row r="11" spans="1:10">
      <c r="A11" s="3" t="s">
        <v>8</v>
      </c>
      <c r="B11" s="7">
        <v>589.07000000000005</v>
      </c>
      <c r="C11" s="7">
        <v>525.67999999999995</v>
      </c>
    </row>
    <row r="12" spans="1:10">
      <c r="A12" s="3" t="s">
        <v>9</v>
      </c>
      <c r="B12" s="7">
        <f>153+9.38+34.94</f>
        <v>197.32</v>
      </c>
      <c r="C12" s="7">
        <f>253+9.78+55.59</f>
        <v>318.37</v>
      </c>
    </row>
    <row r="13" spans="1:10">
      <c r="A13" s="3" t="s">
        <v>10</v>
      </c>
      <c r="B13" s="8" t="s">
        <v>295</v>
      </c>
      <c r="C13" s="9" t="s">
        <v>296</v>
      </c>
    </row>
    <row r="14" spans="1:10">
      <c r="A14" s="3" t="s">
        <v>11</v>
      </c>
      <c r="B14" s="8" t="s">
        <v>295</v>
      </c>
      <c r="C14" s="9" t="s">
        <v>297</v>
      </c>
    </row>
    <row r="15" spans="1:10">
      <c r="A15" s="3" t="s">
        <v>12</v>
      </c>
      <c r="B15" s="7">
        <v>24.99</v>
      </c>
      <c r="C15" s="7">
        <v>18.46</v>
      </c>
      <c r="F15" s="3" t="s">
        <v>669</v>
      </c>
    </row>
    <row r="16" spans="1:10">
      <c r="A16" s="3" t="s">
        <v>13</v>
      </c>
      <c r="B16" s="7">
        <v>0</v>
      </c>
      <c r="C16" s="7">
        <v>0</v>
      </c>
      <c r="F16" s="10">
        <v>1.1299999999999999</v>
      </c>
    </row>
    <row r="17" spans="1:11">
      <c r="A17" s="3" t="s">
        <v>14</v>
      </c>
      <c r="B17" s="7">
        <v>19.12</v>
      </c>
      <c r="C17" s="7">
        <v>18.46</v>
      </c>
    </row>
    <row r="18" spans="1:11">
      <c r="A18" s="3" t="s">
        <v>15</v>
      </c>
      <c r="B18" s="11">
        <v>15.53</v>
      </c>
    </row>
    <row r="19" spans="1:11">
      <c r="A19" s="3" t="s">
        <v>16</v>
      </c>
      <c r="B19" s="7">
        <v>221.1</v>
      </c>
      <c r="E19" s="12" t="s">
        <v>331</v>
      </c>
      <c r="F19" s="13"/>
      <c r="G19" s="13"/>
      <c r="H19" s="13"/>
      <c r="I19" s="13"/>
      <c r="J19" s="13"/>
      <c r="K19" s="14"/>
    </row>
    <row r="20" spans="1:11">
      <c r="A20" s="3" t="s">
        <v>17</v>
      </c>
      <c r="B20" s="15">
        <f>27.97/98.51</f>
        <v>0.28393056542482992</v>
      </c>
      <c r="E20" s="16" t="s">
        <v>332</v>
      </c>
      <c r="K20" s="17"/>
    </row>
    <row r="21" spans="1:11">
      <c r="A21" s="3" t="s">
        <v>18</v>
      </c>
      <c r="B21" s="18">
        <v>0.25</v>
      </c>
      <c r="E21" s="16"/>
      <c r="I21" s="3" t="s">
        <v>339</v>
      </c>
      <c r="J21" s="3" t="s">
        <v>340</v>
      </c>
      <c r="K21" s="17" t="s">
        <v>341</v>
      </c>
    </row>
    <row r="22" spans="1:11">
      <c r="A22" s="1" t="s">
        <v>19</v>
      </c>
      <c r="B22" s="19" t="s">
        <v>650</v>
      </c>
      <c r="C22" s="20" t="s">
        <v>651</v>
      </c>
      <c r="E22" s="16" t="s">
        <v>333</v>
      </c>
      <c r="I22" s="21">
        <f>IF(C8&gt;0,(B8/C8)^(1/D8)-1, "NA")</f>
        <v>3.4912911598313334E-2</v>
      </c>
      <c r="J22" s="21">
        <f>VLOOKUP(B6,'Industry Averages(US)'!A2:S96,3)</f>
        <v>6.4077647058823517E-2</v>
      </c>
      <c r="K22" s="21">
        <f>VLOOKUP(B7,'Global industry averages'!A2:N96,3)</f>
        <v>6.0341779661016975E-2</v>
      </c>
    </row>
    <row r="23" spans="1:11">
      <c r="A23" s="3" t="s">
        <v>20</v>
      </c>
      <c r="B23" s="22">
        <v>7.0000000000000007E-2</v>
      </c>
      <c r="C23" s="15">
        <v>0.1</v>
      </c>
      <c r="D23" s="9" t="s">
        <v>298</v>
      </c>
      <c r="E23" s="16" t="s">
        <v>334</v>
      </c>
      <c r="I23" s="21">
        <f>'Valuation Output'!B4</f>
        <v>0.19873723735308491</v>
      </c>
      <c r="J23" s="21">
        <f>VLOOKUP(B6,'Industry Averages(US)'!A2:S96,4)</f>
        <v>0.13699109649917485</v>
      </c>
      <c r="K23" s="21">
        <f>VLOOKUP(B7,'Global industry averages'!A2:N96,4)</f>
        <v>0.10736343118433062</v>
      </c>
    </row>
    <row r="24" spans="1:11">
      <c r="A24" s="3" t="s">
        <v>21</v>
      </c>
      <c r="B24" s="15">
        <v>0.21</v>
      </c>
      <c r="D24" s="9" t="s">
        <v>299</v>
      </c>
      <c r="E24" s="16" t="s">
        <v>335</v>
      </c>
      <c r="I24" s="23">
        <f>B8/(B11+B12-B15)</f>
        <v>1.0213553979511425</v>
      </c>
      <c r="J24" s="23">
        <f>VLOOKUP(B6,'Industry Averages(US)'!A2:S97,14)</f>
        <v>2.2882186586804418</v>
      </c>
      <c r="K24" s="23">
        <f>VLOOKUP(B7,'Global industry averages'!A2:N96,14)</f>
        <v>1.8434295701551509</v>
      </c>
    </row>
    <row r="25" spans="1:11">
      <c r="A25" s="3" t="s">
        <v>22</v>
      </c>
      <c r="B25" s="24">
        <v>1.75</v>
      </c>
      <c r="C25" s="25">
        <v>1.5</v>
      </c>
      <c r="D25" s="9" t="s">
        <v>300</v>
      </c>
      <c r="E25" s="16" t="s">
        <v>336</v>
      </c>
      <c r="I25" s="21">
        <f>B9*(1-B20)/(C11+C12-C15-C16+C17)</f>
        <v>0.13111608448977261</v>
      </c>
      <c r="J25" s="21">
        <f>VLOOKUP(B6,'Industry Averages(US)'!A2:S97,5)</f>
        <v>0.25267057444947799</v>
      </c>
      <c r="K25" s="21">
        <f>VLOOKUP(B7,'Global industry averages'!A2:N96,5)</f>
        <v>0.16730290380377014</v>
      </c>
    </row>
    <row r="26" spans="1:11">
      <c r="A26" s="1" t="s">
        <v>23</v>
      </c>
      <c r="E26" s="16" t="s">
        <v>337</v>
      </c>
      <c r="I26" s="16"/>
      <c r="J26" s="21">
        <f>VLOOKUP(B6,'Industry Averages(US)'!A2:S97,10)</f>
        <v>0.28715879840268466</v>
      </c>
      <c r="K26" s="21">
        <f>VLOOKUP(B6,'Global industry averages'!A2:Z96,10)</f>
        <v>0.28001303760534801</v>
      </c>
    </row>
    <row r="27" spans="1:11">
      <c r="A27" s="3" t="s">
        <v>24</v>
      </c>
      <c r="B27" s="15">
        <v>4.1000000000000002E-2</v>
      </c>
      <c r="E27" s="26" t="s">
        <v>338</v>
      </c>
      <c r="F27" s="27"/>
      <c r="G27" s="27"/>
      <c r="H27" s="27"/>
      <c r="I27" s="26"/>
      <c r="J27" s="21">
        <f>VLOOKUP(B6,'Industry Averages(US)'!A2:S96,13)</f>
        <v>9.0005822872010727E-2</v>
      </c>
      <c r="K27" s="21">
        <f>VLOOKUP(B6,'Global industry averages'!A2:Z96,13)</f>
        <v>9.4796723499457378E-2</v>
      </c>
    </row>
    <row r="28" spans="1:11">
      <c r="A28" s="3" t="s">
        <v>25</v>
      </c>
      <c r="B28" s="28">
        <f>'Cost of capital worksheet'!E48</f>
        <v>8.4249239453989225E-2</v>
      </c>
      <c r="C28" s="9" t="s">
        <v>301</v>
      </c>
    </row>
    <row r="29" spans="1:11">
      <c r="A29" s="1" t="s">
        <v>26</v>
      </c>
      <c r="D29" s="12" t="s">
        <v>342</v>
      </c>
      <c r="E29" s="13"/>
      <c r="F29" s="13"/>
      <c r="G29" s="13"/>
      <c r="H29" s="13"/>
      <c r="I29" s="14"/>
    </row>
    <row r="30" spans="1:11">
      <c r="A30" s="3" t="s">
        <v>27</v>
      </c>
      <c r="B30" s="8" t="s">
        <v>295</v>
      </c>
      <c r="D30" s="16" t="s">
        <v>343</v>
      </c>
      <c r="I30" s="29">
        <f>'Valuation Output'!M3</f>
        <v>1685.9767434992341</v>
      </c>
    </row>
    <row r="31" spans="1:11">
      <c r="A31" s="3" t="s">
        <v>28</v>
      </c>
      <c r="B31" s="24">
        <v>3.6</v>
      </c>
      <c r="D31" s="16" t="s">
        <v>344</v>
      </c>
      <c r="I31" s="30">
        <f>'Valuation Output'!M5</f>
        <v>354.05511613483912</v>
      </c>
    </row>
    <row r="32" spans="1:11">
      <c r="A32" s="3" t="s">
        <v>29</v>
      </c>
      <c r="B32" s="31">
        <v>82.6</v>
      </c>
      <c r="D32" s="16" t="s">
        <v>345</v>
      </c>
      <c r="I32" s="28">
        <f>'Valuation Output'!L40</f>
        <v>0.19443120578067516</v>
      </c>
    </row>
    <row r="33" spans="1:18">
      <c r="A33" s="3" t="s">
        <v>30</v>
      </c>
      <c r="B33" s="5">
        <v>5.6</v>
      </c>
      <c r="D33" s="26" t="s">
        <v>346</v>
      </c>
      <c r="E33" s="27"/>
      <c r="F33" s="27"/>
      <c r="G33" s="27"/>
      <c r="H33" s="27"/>
      <c r="I33" s="32"/>
    </row>
    <row r="34" spans="1:18">
      <c r="A34" s="3" t="s">
        <v>31</v>
      </c>
      <c r="B34" s="15">
        <v>0.184</v>
      </c>
    </row>
    <row r="36" spans="1:18">
      <c r="A36" s="3" t="s">
        <v>302</v>
      </c>
    </row>
    <row r="37" spans="1:18">
      <c r="A37" s="3" t="s">
        <v>303</v>
      </c>
    </row>
    <row r="38" spans="1:18">
      <c r="A38" s="3" t="s">
        <v>304</v>
      </c>
      <c r="B38" s="8" t="s">
        <v>295</v>
      </c>
      <c r="C38" s="9" t="s">
        <v>321</v>
      </c>
      <c r="J38" s="33" t="s">
        <v>610</v>
      </c>
      <c r="K38" s="34" t="s">
        <v>611</v>
      </c>
    </row>
    <row r="39" spans="1:18">
      <c r="A39" s="3" t="s">
        <v>305</v>
      </c>
      <c r="B39" s="15">
        <v>6.6799999999999998E-2</v>
      </c>
      <c r="C39" s="9" t="s">
        <v>322</v>
      </c>
      <c r="J39" s="35">
        <f>B27+6%</f>
        <v>0.10100000000000001</v>
      </c>
      <c r="K39" s="36">
        <f>B27+4%</f>
        <v>8.1000000000000003E-2</v>
      </c>
    </row>
    <row r="40" spans="1:18">
      <c r="A40" s="3" t="s">
        <v>306</v>
      </c>
      <c r="P40" s="119" t="s">
        <v>617</v>
      </c>
      <c r="Q40" s="120"/>
      <c r="R40" s="121"/>
    </row>
    <row r="41" spans="1:18">
      <c r="A41" s="3" t="s">
        <v>304</v>
      </c>
      <c r="B41" s="8" t="s">
        <v>294</v>
      </c>
      <c r="C41" s="9" t="s">
        <v>323</v>
      </c>
      <c r="J41" s="125" t="s">
        <v>612</v>
      </c>
      <c r="K41" s="126"/>
      <c r="L41" s="126" t="s">
        <v>613</v>
      </c>
      <c r="M41" s="126"/>
      <c r="N41" s="127"/>
      <c r="P41" s="26" t="s">
        <v>614</v>
      </c>
      <c r="Q41" s="27" t="s">
        <v>615</v>
      </c>
      <c r="R41" s="32" t="s">
        <v>616</v>
      </c>
    </row>
    <row r="42" spans="1:18">
      <c r="A42" s="3" t="s">
        <v>307</v>
      </c>
      <c r="B42" s="15">
        <v>0.111</v>
      </c>
      <c r="C42" s="9" t="s">
        <v>324</v>
      </c>
      <c r="J42" s="128">
        <f>B28+5%</f>
        <v>0.13424923945398923</v>
      </c>
      <c r="K42" s="129"/>
      <c r="L42" s="129">
        <f>B28+2.5%</f>
        <v>0.10924923945398923</v>
      </c>
      <c r="M42" s="129"/>
      <c r="N42" s="130"/>
      <c r="O42" s="3" t="s">
        <v>626</v>
      </c>
      <c r="P42" s="37">
        <f>B28+5%</f>
        <v>0.13424923945398923</v>
      </c>
      <c r="Q42" s="38">
        <f>J39+5%</f>
        <v>0.15100000000000002</v>
      </c>
      <c r="R42" s="39">
        <f>K39+5%</f>
        <v>0.13100000000000001</v>
      </c>
    </row>
    <row r="43" spans="1:18">
      <c r="A43" s="3" t="s">
        <v>308</v>
      </c>
      <c r="J43" s="122">
        <f>'Valuation Output'!M12+5%</f>
        <v>0.13600000000000001</v>
      </c>
      <c r="K43" s="123"/>
      <c r="L43" s="123">
        <f>'Valuation Output'!M12+2.5%</f>
        <v>0.11099999999999999</v>
      </c>
      <c r="M43" s="123"/>
      <c r="N43" s="124"/>
      <c r="O43" s="3" t="s">
        <v>627</v>
      </c>
      <c r="P43" s="40">
        <f>'Valuation Output'!M12+5%</f>
        <v>0.13600000000000001</v>
      </c>
      <c r="Q43" s="41">
        <f>J39+5%</f>
        <v>0.15100000000000002</v>
      </c>
      <c r="R43" s="42">
        <f>K39+5%</f>
        <v>0.13100000000000001</v>
      </c>
    </row>
    <row r="44" spans="1:18">
      <c r="A44" s="3" t="s">
        <v>304</v>
      </c>
      <c r="B44" s="8" t="s">
        <v>295</v>
      </c>
      <c r="C44" s="9" t="s">
        <v>325</v>
      </c>
    </row>
    <row r="45" spans="1:18">
      <c r="A45" s="3" t="s">
        <v>309</v>
      </c>
      <c r="B45" s="43">
        <v>0.2</v>
      </c>
      <c r="C45" s="9" t="s">
        <v>326</v>
      </c>
    </row>
    <row r="46" spans="1:18">
      <c r="A46" s="3" t="s">
        <v>310</v>
      </c>
      <c r="B46" s="8" t="s">
        <v>319</v>
      </c>
      <c r="C46" s="9" t="s">
        <v>327</v>
      </c>
    </row>
    <row r="47" spans="1:18">
      <c r="A47" s="3" t="s">
        <v>311</v>
      </c>
      <c r="B47" s="43">
        <v>0.5</v>
      </c>
      <c r="C47" s="9" t="s">
        <v>328</v>
      </c>
    </row>
    <row r="48" spans="1:18">
      <c r="A48" s="3" t="s">
        <v>312</v>
      </c>
    </row>
    <row r="49" spans="1:3">
      <c r="A49" s="3" t="s">
        <v>304</v>
      </c>
      <c r="B49" s="8" t="s">
        <v>295</v>
      </c>
    </row>
    <row r="50" spans="1:3">
      <c r="A50" s="3" t="s">
        <v>313</v>
      </c>
    </row>
    <row r="51" spans="1:3">
      <c r="A51" s="3" t="s">
        <v>304</v>
      </c>
      <c r="B51" s="8" t="s">
        <v>295</v>
      </c>
      <c r="C51" s="9" t="s">
        <v>329</v>
      </c>
    </row>
    <row r="52" spans="1:3">
      <c r="A52" s="3" t="s">
        <v>314</v>
      </c>
      <c r="B52" s="31">
        <v>250</v>
      </c>
      <c r="C52" s="9" t="s">
        <v>330</v>
      </c>
    </row>
    <row r="53" spans="1:3">
      <c r="A53" s="3" t="s">
        <v>315</v>
      </c>
    </row>
    <row r="54" spans="1:3">
      <c r="A54" s="3" t="s">
        <v>316</v>
      </c>
      <c r="B54" s="8" t="s">
        <v>295</v>
      </c>
    </row>
    <row r="55" spans="1:3">
      <c r="A55" s="3" t="s">
        <v>317</v>
      </c>
      <c r="B55" s="31">
        <v>150000</v>
      </c>
    </row>
    <row r="56" spans="1:3">
      <c r="A56" s="3" t="s">
        <v>318</v>
      </c>
      <c r="B56" s="43">
        <v>0.15</v>
      </c>
    </row>
  </sheetData>
  <mergeCells count="12">
    <mergeCell ref="P40:R40"/>
    <mergeCell ref="J43:K43"/>
    <mergeCell ref="L43:N43"/>
    <mergeCell ref="J41:K41"/>
    <mergeCell ref="L41:N41"/>
    <mergeCell ref="J42:K42"/>
    <mergeCell ref="L42:N42"/>
    <mergeCell ref="H1:J1"/>
    <mergeCell ref="H2:I2"/>
    <mergeCell ref="H3:I3"/>
    <mergeCell ref="H4:I4"/>
    <mergeCell ref="J2:J4"/>
  </mergeCells>
  <conditionalFormatting sqref="I22:K22">
    <cfRule type="dataBar" priority="3">
      <dataBar>
        <cfvo type="min"/>
        <cfvo type="max"/>
        <color rgb="FF63C384"/>
      </dataBar>
      <extLst>
        <ext xmlns:x14="http://schemas.microsoft.com/office/spreadsheetml/2009/9/main" uri="{B025F937-C7B1-47D3-B67F-A62EFF666E3E}">
          <x14:id>{7520DC58-EDFD-48B4-8AD2-49B1A7E99944}</x14:id>
        </ext>
      </extLst>
    </cfRule>
  </conditionalFormatting>
  <conditionalFormatting sqref="I23:K23">
    <cfRule type="dataBar" priority="2">
      <dataBar>
        <cfvo type="min"/>
        <cfvo type="max"/>
        <color rgb="FF63C384"/>
      </dataBar>
      <extLst>
        <ext xmlns:x14="http://schemas.microsoft.com/office/spreadsheetml/2009/9/main" uri="{B025F937-C7B1-47D3-B67F-A62EFF666E3E}">
          <x14:id>{DB77BF9C-E156-42A6-82D7-5F72CD2837AE}</x14:id>
        </ext>
      </extLst>
    </cfRule>
  </conditionalFormatting>
  <conditionalFormatting sqref="I25:K25">
    <cfRule type="dataBar" priority="1">
      <dataBar>
        <cfvo type="min"/>
        <cfvo type="max"/>
        <color rgb="FF63C384"/>
      </dataBar>
      <extLst>
        <ext xmlns:x14="http://schemas.microsoft.com/office/spreadsheetml/2009/9/main" uri="{B025F937-C7B1-47D3-B67F-A62EFF666E3E}">
          <x14:id>{013BEF21-BA7C-46F5-9168-3A51FEA42C9F}</x14:id>
        </ext>
      </extLst>
    </cfRule>
  </conditionalFormatting>
  <hyperlinks>
    <hyperlink ref="H1:J1" r:id="rId1" display="Video: How to use this spreadsheet" xr:uid="{3533312B-CB73-497E-AC8C-40559B58BE5F}"/>
    <hyperlink ref="E8" location="'TTM Calc'!A1" display="TTM Calc" xr:uid="{5B16E715-AA6E-4A0B-9A42-98637783C759}"/>
  </hyperlinks>
  <pageMargins left="0.7" right="0.7" top="0.75" bottom="0.75" header="0.3" footer="0.3"/>
  <pageSetup orientation="portrait" verticalDpi="0" r:id="rId2"/>
  <legacyDrawing r:id="rId3"/>
  <extLst>
    <ext xmlns:x14="http://schemas.microsoft.com/office/spreadsheetml/2009/9/main" uri="{78C0D931-6437-407d-A8EE-F0AAD7539E65}">
      <x14:conditionalFormattings>
        <x14:conditionalFormatting xmlns:xm="http://schemas.microsoft.com/office/excel/2006/main">
          <x14:cfRule type="dataBar" id="{7520DC58-EDFD-48B4-8AD2-49B1A7E99944}">
            <x14:dataBar minLength="0" maxLength="100" gradient="0">
              <x14:cfvo type="autoMin"/>
              <x14:cfvo type="autoMax"/>
              <x14:negativeFillColor rgb="FFFF0000"/>
              <x14:axisColor rgb="FF000000"/>
            </x14:dataBar>
          </x14:cfRule>
          <xm:sqref>I22:K22</xm:sqref>
        </x14:conditionalFormatting>
        <x14:conditionalFormatting xmlns:xm="http://schemas.microsoft.com/office/excel/2006/main">
          <x14:cfRule type="dataBar" id="{DB77BF9C-E156-42A6-82D7-5F72CD2837AE}">
            <x14:dataBar minLength="0" maxLength="100" gradient="0">
              <x14:cfvo type="autoMin"/>
              <x14:cfvo type="autoMax"/>
              <x14:negativeFillColor rgb="FFFF0000"/>
              <x14:axisColor rgb="FF000000"/>
            </x14:dataBar>
          </x14:cfRule>
          <xm:sqref>I23:K23</xm:sqref>
        </x14:conditionalFormatting>
        <x14:conditionalFormatting xmlns:xm="http://schemas.microsoft.com/office/excel/2006/main">
          <x14:cfRule type="dataBar" id="{013BEF21-BA7C-46F5-9168-3A51FEA42C9F}">
            <x14:dataBar minLength="0" maxLength="100" gradient="0">
              <x14:cfvo type="autoMin"/>
              <x14:cfvo type="autoMax"/>
              <x14:negativeFillColor rgb="FFFF0000"/>
              <x14:axisColor rgb="FF000000"/>
            </x14:dataBar>
          </x14:cfRule>
          <xm:sqref>I25:K25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CAD64A1E-BD7D-44FF-8478-474E90ED20A4}">
          <x14:formula1>
            <xm:f>Countries!$A$2:$A$153</xm:f>
          </x14:formula1>
          <xm:sqref>B5</xm:sqref>
        </x14:dataValidation>
        <x14:dataValidation type="list" allowBlank="1" showInputMessage="1" showErrorMessage="1" xr:uid="{35FF1D7D-6758-43EF-985F-8CA82B5A3A0D}">
          <x14:formula1>
            <xm:f>Industries!$A$2:$A$95</xm:f>
          </x14:formula1>
          <xm:sqref>B6:B7</xm:sqref>
        </x14:dataValidation>
        <x14:dataValidation type="list" allowBlank="1" showInputMessage="1" showErrorMessage="1" xr:uid="{9D5A5711-3662-4D29-8768-0FB8A1BEF61F}">
          <x14:formula1>
            <xm:f>'Answer Keys'!$B$1:$B$4</xm:f>
          </x14:formula1>
          <xm:sqref>D8:D9</xm:sqref>
        </x14:dataValidation>
        <x14:dataValidation type="list" allowBlank="1" showInputMessage="1" showErrorMessage="1" xr:uid="{EE2EF3EC-7442-4184-9E4B-F6EA96B731F5}">
          <x14:formula1>
            <xm:f>'Answer Keys'!$A$1:$A$2</xm:f>
          </x14:formula1>
          <xm:sqref>B13:B14 B30 B38 B41 B44 B49 B51 B54</xm:sqref>
        </x14:dataValidation>
        <x14:dataValidation type="list" allowBlank="1" showInputMessage="1" showErrorMessage="1" xr:uid="{5E10C436-1827-4971-A0B8-10ADD6CACE7F}">
          <x14:formula1>
            <xm:f>'Answer Keys'!$C$1:$C$2</xm:f>
          </x14:formula1>
          <xm:sqref>B46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E0E2B-9687-47C1-B3AC-D3DEBC8DA9E0}">
  <sheetPr>
    <tabColor theme="4" tint="0.39997558519241921"/>
  </sheetPr>
  <dimension ref="A1:A95"/>
  <sheetViews>
    <sheetView workbookViewId="0">
      <selection sqref="A1:XFD1048576"/>
    </sheetView>
  </sheetViews>
  <sheetFormatPr defaultRowHeight="15"/>
  <cols>
    <col min="1" max="1" width="36.140625" style="3" bestFit="1" customWidth="1"/>
    <col min="2" max="16384" width="9.140625" style="3"/>
  </cols>
  <sheetData>
    <row r="1" spans="1:1">
      <c r="A1" s="1" t="s">
        <v>198</v>
      </c>
    </row>
    <row r="2" spans="1:1">
      <c r="A2" s="3" t="s">
        <v>199</v>
      </c>
    </row>
    <row r="3" spans="1:1">
      <c r="A3" s="3" t="s">
        <v>200</v>
      </c>
    </row>
    <row r="4" spans="1:1">
      <c r="A4" s="3" t="s">
        <v>201</v>
      </c>
    </row>
    <row r="5" spans="1:1">
      <c r="A5" s="3" t="s">
        <v>202</v>
      </c>
    </row>
    <row r="6" spans="1:1">
      <c r="A6" s="3" t="s">
        <v>203</v>
      </c>
    </row>
    <row r="7" spans="1:1">
      <c r="A7" s="3" t="s">
        <v>204</v>
      </c>
    </row>
    <row r="8" spans="1:1">
      <c r="A8" s="3" t="s">
        <v>205</v>
      </c>
    </row>
    <row r="9" spans="1:1">
      <c r="A9" s="3" t="s">
        <v>206</v>
      </c>
    </row>
    <row r="10" spans="1:1">
      <c r="A10" s="3" t="s">
        <v>207</v>
      </c>
    </row>
    <row r="11" spans="1:1">
      <c r="A11" s="3" t="s">
        <v>208</v>
      </c>
    </row>
    <row r="12" spans="1:1">
      <c r="A12" s="3" t="s">
        <v>209</v>
      </c>
    </row>
    <row r="13" spans="1:1">
      <c r="A13" s="3" t="s">
        <v>210</v>
      </c>
    </row>
    <row r="14" spans="1:1">
      <c r="A14" s="3" t="s">
        <v>211</v>
      </c>
    </row>
    <row r="15" spans="1:1">
      <c r="A15" s="3" t="s">
        <v>212</v>
      </c>
    </row>
    <row r="16" spans="1:1">
      <c r="A16" s="3" t="s">
        <v>213</v>
      </c>
    </row>
    <row r="17" spans="1:1">
      <c r="A17" s="3" t="s">
        <v>214</v>
      </c>
    </row>
    <row r="18" spans="1:1">
      <c r="A18" s="3" t="s">
        <v>215</v>
      </c>
    </row>
    <row r="19" spans="1:1">
      <c r="A19" s="3" t="s">
        <v>216</v>
      </c>
    </row>
    <row r="20" spans="1:1">
      <c r="A20" s="3" t="s">
        <v>217</v>
      </c>
    </row>
    <row r="21" spans="1:1">
      <c r="A21" s="3" t="s">
        <v>218</v>
      </c>
    </row>
    <row r="22" spans="1:1">
      <c r="A22" s="3" t="s">
        <v>219</v>
      </c>
    </row>
    <row r="23" spans="1:1">
      <c r="A23" s="3" t="s">
        <v>220</v>
      </c>
    </row>
    <row r="24" spans="1:1">
      <c r="A24" s="3" t="s">
        <v>221</v>
      </c>
    </row>
    <row r="25" spans="1:1">
      <c r="A25" s="3" t="s">
        <v>222</v>
      </c>
    </row>
    <row r="26" spans="1:1">
      <c r="A26" s="3" t="s">
        <v>223</v>
      </c>
    </row>
    <row r="27" spans="1:1">
      <c r="A27" s="3" t="s">
        <v>224</v>
      </c>
    </row>
    <row r="28" spans="1:1">
      <c r="A28" s="3" t="s">
        <v>225</v>
      </c>
    </row>
    <row r="29" spans="1:1">
      <c r="A29" s="3" t="s">
        <v>226</v>
      </c>
    </row>
    <row r="30" spans="1:1">
      <c r="A30" s="3" t="s">
        <v>227</v>
      </c>
    </row>
    <row r="31" spans="1:1">
      <c r="A31" s="3" t="s">
        <v>228</v>
      </c>
    </row>
    <row r="32" spans="1:1">
      <c r="A32" s="3" t="s">
        <v>229</v>
      </c>
    </row>
    <row r="33" spans="1:1">
      <c r="A33" s="3" t="s">
        <v>230</v>
      </c>
    </row>
    <row r="34" spans="1:1">
      <c r="A34" s="3" t="s">
        <v>231</v>
      </c>
    </row>
    <row r="35" spans="1:1">
      <c r="A35" s="3" t="s">
        <v>232</v>
      </c>
    </row>
    <row r="36" spans="1:1">
      <c r="A36" s="3" t="s">
        <v>233</v>
      </c>
    </row>
    <row r="37" spans="1:1">
      <c r="A37" s="3" t="s">
        <v>234</v>
      </c>
    </row>
    <row r="38" spans="1:1">
      <c r="A38" s="3" t="s">
        <v>235</v>
      </c>
    </row>
    <row r="39" spans="1:1">
      <c r="A39" s="3" t="s">
        <v>236</v>
      </c>
    </row>
    <row r="40" spans="1:1">
      <c r="A40" s="3" t="s">
        <v>237</v>
      </c>
    </row>
    <row r="41" spans="1:1">
      <c r="A41" s="3" t="s">
        <v>238</v>
      </c>
    </row>
    <row r="42" spans="1:1">
      <c r="A42" s="3" t="s">
        <v>239</v>
      </c>
    </row>
    <row r="43" spans="1:1">
      <c r="A43" s="3" t="s">
        <v>240</v>
      </c>
    </row>
    <row r="44" spans="1:1">
      <c r="A44" s="3" t="s">
        <v>241</v>
      </c>
    </row>
    <row r="45" spans="1:1">
      <c r="A45" s="3" t="s">
        <v>242</v>
      </c>
    </row>
    <row r="46" spans="1:1">
      <c r="A46" s="3" t="s">
        <v>243</v>
      </c>
    </row>
    <row r="47" spans="1:1">
      <c r="A47" s="3" t="s">
        <v>244</v>
      </c>
    </row>
    <row r="48" spans="1:1">
      <c r="A48" s="3" t="s">
        <v>245</v>
      </c>
    </row>
    <row r="49" spans="1:1">
      <c r="A49" s="3" t="s">
        <v>246</v>
      </c>
    </row>
    <row r="50" spans="1:1">
      <c r="A50" s="3" t="s">
        <v>247</v>
      </c>
    </row>
    <row r="51" spans="1:1">
      <c r="A51" s="3" t="s">
        <v>248</v>
      </c>
    </row>
    <row r="52" spans="1:1">
      <c r="A52" s="3" t="s">
        <v>249</v>
      </c>
    </row>
    <row r="53" spans="1:1">
      <c r="A53" s="3" t="s">
        <v>250</v>
      </c>
    </row>
    <row r="54" spans="1:1">
      <c r="A54" s="3" t="s">
        <v>251</v>
      </c>
    </row>
    <row r="55" spans="1:1">
      <c r="A55" s="3" t="s">
        <v>252</v>
      </c>
    </row>
    <row r="56" spans="1:1">
      <c r="A56" s="3" t="s">
        <v>253</v>
      </c>
    </row>
    <row r="57" spans="1:1">
      <c r="A57" s="3" t="s">
        <v>254</v>
      </c>
    </row>
    <row r="58" spans="1:1">
      <c r="A58" s="3" t="s">
        <v>255</v>
      </c>
    </row>
    <row r="59" spans="1:1">
      <c r="A59" s="3" t="s">
        <v>256</v>
      </c>
    </row>
    <row r="60" spans="1:1">
      <c r="A60" s="3" t="s">
        <v>257</v>
      </c>
    </row>
    <row r="61" spans="1:1">
      <c r="A61" s="3" t="s">
        <v>258</v>
      </c>
    </row>
    <row r="62" spans="1:1">
      <c r="A62" s="3" t="s">
        <v>259</v>
      </c>
    </row>
    <row r="63" spans="1:1">
      <c r="A63" s="3" t="s">
        <v>260</v>
      </c>
    </row>
    <row r="64" spans="1:1">
      <c r="A64" s="3" t="s">
        <v>261</v>
      </c>
    </row>
    <row r="65" spans="1:1">
      <c r="A65" s="3" t="s">
        <v>262</v>
      </c>
    </row>
    <row r="66" spans="1:1">
      <c r="A66" s="3" t="s">
        <v>263</v>
      </c>
    </row>
    <row r="67" spans="1:1">
      <c r="A67" s="3" t="s">
        <v>264</v>
      </c>
    </row>
    <row r="68" spans="1:1">
      <c r="A68" s="3" t="s">
        <v>265</v>
      </c>
    </row>
    <row r="69" spans="1:1">
      <c r="A69" s="3" t="s">
        <v>266</v>
      </c>
    </row>
    <row r="70" spans="1:1">
      <c r="A70" s="3" t="s">
        <v>267</v>
      </c>
    </row>
    <row r="71" spans="1:1">
      <c r="A71" s="3" t="s">
        <v>268</v>
      </c>
    </row>
    <row r="72" spans="1:1">
      <c r="A72" s="3" t="s">
        <v>269</v>
      </c>
    </row>
    <row r="73" spans="1:1">
      <c r="A73" s="3" t="s">
        <v>270</v>
      </c>
    </row>
    <row r="74" spans="1:1">
      <c r="A74" s="3" t="s">
        <v>271</v>
      </c>
    </row>
    <row r="75" spans="1:1">
      <c r="A75" s="3" t="s">
        <v>272</v>
      </c>
    </row>
    <row r="76" spans="1:1">
      <c r="A76" s="3" t="s">
        <v>273</v>
      </c>
    </row>
    <row r="77" spans="1:1">
      <c r="A77" s="3" t="s">
        <v>274</v>
      </c>
    </row>
    <row r="78" spans="1:1">
      <c r="A78" s="3" t="s">
        <v>275</v>
      </c>
    </row>
    <row r="79" spans="1:1">
      <c r="A79" s="3" t="s">
        <v>276</v>
      </c>
    </row>
    <row r="80" spans="1:1">
      <c r="A80" s="3" t="s">
        <v>277</v>
      </c>
    </row>
    <row r="81" spans="1:1">
      <c r="A81" s="3" t="s">
        <v>278</v>
      </c>
    </row>
    <row r="82" spans="1:1">
      <c r="A82" s="3" t="s">
        <v>279</v>
      </c>
    </row>
    <row r="83" spans="1:1">
      <c r="A83" s="3" t="s">
        <v>280</v>
      </c>
    </row>
    <row r="84" spans="1:1">
      <c r="A84" s="3" t="s">
        <v>281</v>
      </c>
    </row>
    <row r="85" spans="1:1">
      <c r="A85" s="3" t="s">
        <v>282</v>
      </c>
    </row>
    <row r="86" spans="1:1">
      <c r="A86" s="3" t="s">
        <v>283</v>
      </c>
    </row>
    <row r="87" spans="1:1">
      <c r="A87" s="3" t="s">
        <v>284</v>
      </c>
    </row>
    <row r="88" spans="1:1">
      <c r="A88" s="3" t="s">
        <v>285</v>
      </c>
    </row>
    <row r="89" spans="1:1">
      <c r="A89" s="3" t="s">
        <v>286</v>
      </c>
    </row>
    <row r="90" spans="1:1">
      <c r="A90" s="3" t="s">
        <v>287</v>
      </c>
    </row>
    <row r="91" spans="1:1">
      <c r="A91" s="3" t="s">
        <v>288</v>
      </c>
    </row>
    <row r="92" spans="1:1">
      <c r="A92" s="3" t="s">
        <v>289</v>
      </c>
    </row>
    <row r="93" spans="1:1">
      <c r="A93" s="3" t="s">
        <v>290</v>
      </c>
    </row>
    <row r="94" spans="1:1">
      <c r="A94" s="3" t="s">
        <v>291</v>
      </c>
    </row>
    <row r="95" spans="1:1">
      <c r="A95" s="3" t="s">
        <v>292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22278-C5B0-46D7-BF46-4D14F6812CE0}">
  <sheetPr>
    <tabColor theme="4" tint="0.39997558519241921"/>
  </sheetPr>
  <dimension ref="A1:Z96"/>
  <sheetViews>
    <sheetView workbookViewId="0">
      <selection sqref="A1:XFD1048576"/>
    </sheetView>
  </sheetViews>
  <sheetFormatPr defaultRowHeight="15"/>
  <cols>
    <col min="1" max="1" width="36.140625" style="3" bestFit="1" customWidth="1"/>
    <col min="2" max="11" width="9.140625" style="3"/>
    <col min="12" max="12" width="11" style="3" customWidth="1"/>
    <col min="13" max="13" width="9.140625" style="3"/>
    <col min="14" max="14" width="10.85546875" style="3" customWidth="1"/>
    <col min="15" max="15" width="9.140625" style="54"/>
    <col min="16" max="22" width="9.140625" style="3"/>
    <col min="23" max="23" width="11.28515625" style="3" customWidth="1"/>
    <col min="24" max="16384" width="9.140625" style="3"/>
  </cols>
  <sheetData>
    <row r="1" spans="1:26" s="97" customFormat="1" ht="72">
      <c r="A1" s="93" t="s">
        <v>198</v>
      </c>
      <c r="B1" s="94" t="s">
        <v>562</v>
      </c>
      <c r="C1" s="95" t="s">
        <v>563</v>
      </c>
      <c r="D1" s="94" t="s">
        <v>564</v>
      </c>
      <c r="E1" s="95" t="s">
        <v>565</v>
      </c>
      <c r="F1" s="94" t="s">
        <v>566</v>
      </c>
      <c r="G1" s="94" t="s">
        <v>515</v>
      </c>
      <c r="H1" s="94" t="s">
        <v>567</v>
      </c>
      <c r="I1" s="94" t="s">
        <v>568</v>
      </c>
      <c r="J1" s="94" t="s">
        <v>569</v>
      </c>
      <c r="K1" s="94" t="s">
        <v>570</v>
      </c>
      <c r="L1" s="94" t="s">
        <v>571</v>
      </c>
      <c r="M1" s="94" t="s">
        <v>357</v>
      </c>
      <c r="N1" s="96" t="s">
        <v>572</v>
      </c>
      <c r="O1" s="94" t="s">
        <v>511</v>
      </c>
      <c r="P1" s="94" t="s">
        <v>573</v>
      </c>
      <c r="Q1" s="94" t="s">
        <v>574</v>
      </c>
      <c r="R1" s="94" t="s">
        <v>575</v>
      </c>
      <c r="S1" s="94" t="s">
        <v>576</v>
      </c>
      <c r="T1" s="94" t="s">
        <v>577</v>
      </c>
      <c r="U1" s="94" t="s">
        <v>578</v>
      </c>
      <c r="V1" s="94" t="s">
        <v>579</v>
      </c>
      <c r="W1" s="94" t="s">
        <v>580</v>
      </c>
      <c r="X1" s="93" t="s">
        <v>581</v>
      </c>
      <c r="Y1" s="93" t="s">
        <v>582</v>
      </c>
      <c r="Z1" s="93" t="s">
        <v>583</v>
      </c>
    </row>
    <row r="2" spans="1:26">
      <c r="A2" s="3" t="s">
        <v>199</v>
      </c>
      <c r="B2" s="3">
        <v>57</v>
      </c>
      <c r="C2" s="53">
        <v>0.11568399999999998</v>
      </c>
      <c r="D2" s="53">
        <v>9.9625007945445515E-2</v>
      </c>
      <c r="E2" s="53">
        <v>0.31515111490453068</v>
      </c>
      <c r="F2" s="53">
        <v>5.438041996417136E-2</v>
      </c>
      <c r="G2" s="54">
        <v>1.0950269701150073</v>
      </c>
      <c r="H2" s="54">
        <v>1.3723256229214125</v>
      </c>
      <c r="I2" s="53">
        <v>0.10192697865438498</v>
      </c>
      <c r="J2" s="53">
        <v>0.56414425301504312</v>
      </c>
      <c r="K2" s="53">
        <v>5.3524000000000002E-2</v>
      </c>
      <c r="L2" s="53">
        <v>0.25240000000000001</v>
      </c>
      <c r="M2" s="53">
        <v>8.633158509130047E-2</v>
      </c>
      <c r="N2" s="54">
        <v>3.2834030413330759</v>
      </c>
      <c r="O2" s="54">
        <v>2.2595129005604955</v>
      </c>
      <c r="P2" s="54">
        <v>12.940312997421533</v>
      </c>
      <c r="Q2" s="54">
        <v>22.238594038328291</v>
      </c>
      <c r="R2" s="54">
        <v>5.7632981253415299</v>
      </c>
      <c r="S2" s="54">
        <v>175.73470187151344</v>
      </c>
      <c r="T2" s="53">
        <v>1.2534141364144605E-2</v>
      </c>
      <c r="U2" s="53">
        <v>-1.911835966362643E-2</v>
      </c>
      <c r="V2" s="53">
        <v>-1.6886086216883787E-2</v>
      </c>
      <c r="W2" s="53">
        <v>-9.9340600189793196E-3</v>
      </c>
      <c r="X2" s="53">
        <v>3.2541006196152036E-2</v>
      </c>
      <c r="Y2" s="53">
        <v>2.828444643801165</v>
      </c>
      <c r="Z2" s="53">
        <v>0.64600000000000002</v>
      </c>
    </row>
    <row r="3" spans="1:26">
      <c r="A3" s="3" t="s">
        <v>200</v>
      </c>
      <c r="B3" s="3">
        <v>70</v>
      </c>
      <c r="C3" s="53">
        <v>7.5882564102564082E-2</v>
      </c>
      <c r="D3" s="53">
        <v>8.5557881411237047E-2</v>
      </c>
      <c r="E3" s="53">
        <v>0.16167717664340658</v>
      </c>
      <c r="F3" s="53">
        <v>7.2752939084211404E-2</v>
      </c>
      <c r="G3" s="54">
        <v>0.90383431567954964</v>
      </c>
      <c r="H3" s="54">
        <v>1.0764050153356324</v>
      </c>
      <c r="I3" s="53">
        <v>8.8314630705439087E-2</v>
      </c>
      <c r="J3" s="53">
        <v>0.36402149671230677</v>
      </c>
      <c r="K3" s="53">
        <v>5.0854999999999997E-2</v>
      </c>
      <c r="L3" s="53">
        <v>0.2029</v>
      </c>
      <c r="M3" s="53">
        <v>7.8133559868173677E-2</v>
      </c>
      <c r="N3" s="54">
        <v>1.9843395804666923</v>
      </c>
      <c r="O3" s="54">
        <v>2.478314246749687</v>
      </c>
      <c r="P3" s="54">
        <v>18.488711603269998</v>
      </c>
      <c r="Q3" s="54">
        <v>28.310279485536824</v>
      </c>
      <c r="R3" s="54">
        <v>5.0771568796832156</v>
      </c>
      <c r="S3" s="54">
        <v>32.517250905909876</v>
      </c>
      <c r="T3" s="53">
        <v>0.45042764203965496</v>
      </c>
      <c r="U3" s="53">
        <v>-1.3339522457738126E-2</v>
      </c>
      <c r="V3" s="53">
        <v>2.282923210385782E-2</v>
      </c>
      <c r="W3" s="53">
        <v>0.39247743028218712</v>
      </c>
      <c r="X3" s="53">
        <v>0.13191483651952815</v>
      </c>
      <c r="Y3" s="53">
        <v>0.53694697197206931</v>
      </c>
      <c r="Z3" s="53">
        <v>0.35320000000000001</v>
      </c>
    </row>
    <row r="4" spans="1:26">
      <c r="A4" s="3" t="s">
        <v>201</v>
      </c>
      <c r="B4" s="3">
        <v>25</v>
      </c>
      <c r="C4" s="53">
        <v>2.9028333333333337E-2</v>
      </c>
      <c r="D4" s="53">
        <v>6.6905980099315324E-2</v>
      </c>
      <c r="E4" s="53">
        <v>0.1092325173386668</v>
      </c>
      <c r="F4" s="53">
        <v>8.6210396664610348E-2</v>
      </c>
      <c r="G4" s="54">
        <v>0.57164468964105219</v>
      </c>
      <c r="H4" s="54">
        <v>1.2668401714816373</v>
      </c>
      <c r="I4" s="53">
        <v>9.7074647888155313E-2</v>
      </c>
      <c r="J4" s="53">
        <v>0.44650998921901031</v>
      </c>
      <c r="K4" s="53">
        <v>5.0854999999999997E-2</v>
      </c>
      <c r="L4" s="53">
        <v>0.61850000000000005</v>
      </c>
      <c r="M4" s="53">
        <v>6.062196095222791E-2</v>
      </c>
      <c r="N4" s="54">
        <v>1.7773199625336142</v>
      </c>
      <c r="O4" s="54">
        <v>0.90579180310273899</v>
      </c>
      <c r="P4" s="54">
        <v>6.1674965255190735</v>
      </c>
      <c r="Q4" s="54">
        <v>13.024537501330959</v>
      </c>
      <c r="R4" s="54">
        <v>2.2359420389310194</v>
      </c>
      <c r="S4" s="54">
        <v>12.658954105086503</v>
      </c>
      <c r="T4" s="53">
        <v>1.0944385248270856E-2</v>
      </c>
      <c r="U4" s="53">
        <v>1.7990003600578661E-2</v>
      </c>
      <c r="V4" s="53">
        <v>6.7202754627620362E-2</v>
      </c>
      <c r="W4" s="53">
        <v>1.1858967293486484</v>
      </c>
      <c r="X4" s="53">
        <v>0.219363538879951</v>
      </c>
      <c r="Y4" s="53">
        <v>7.8632719088479394E-2</v>
      </c>
      <c r="Z4" s="53">
        <v>6.7799999999999999E-2</v>
      </c>
    </row>
    <row r="5" spans="1:26">
      <c r="A5" s="3" t="s">
        <v>202</v>
      </c>
      <c r="B5" s="3">
        <v>38</v>
      </c>
      <c r="C5" s="53">
        <v>5.7186000000000001E-2</v>
      </c>
      <c r="D5" s="53">
        <v>9.6028834349078301E-2</v>
      </c>
      <c r="E5" s="53">
        <v>0.15293487788906657</v>
      </c>
      <c r="F5" s="53">
        <v>0.10192862402659153</v>
      </c>
      <c r="G5" s="54">
        <v>0.87477746967929237</v>
      </c>
      <c r="H5" s="54">
        <v>1.1946998769689117</v>
      </c>
      <c r="I5" s="53">
        <v>9.3756194340569934E-2</v>
      </c>
      <c r="J5" s="53">
        <v>0.37035509904588476</v>
      </c>
      <c r="K5" s="53">
        <v>5.0854999999999997E-2</v>
      </c>
      <c r="L5" s="53">
        <v>0.32779999999999998</v>
      </c>
      <c r="M5" s="53">
        <v>7.5526310696846052E-2</v>
      </c>
      <c r="N5" s="54">
        <v>1.7730762352050577</v>
      </c>
      <c r="O5" s="54">
        <v>1.2013803591525696</v>
      </c>
      <c r="P5" s="54">
        <v>7.9181161902182877</v>
      </c>
      <c r="Q5" s="54">
        <v>12.388401308447197</v>
      </c>
      <c r="R5" s="54">
        <v>2.5581525508953336</v>
      </c>
      <c r="S5" s="54">
        <v>18.688545427356651</v>
      </c>
      <c r="T5" s="53">
        <v>0.24650261726088157</v>
      </c>
      <c r="U5" s="53">
        <v>1.5531388063582379E-3</v>
      </c>
      <c r="V5" s="53">
        <v>5.3650838666078442E-3</v>
      </c>
      <c r="W5" s="53">
        <v>-7.2858762711417155E-2</v>
      </c>
      <c r="X5" s="53">
        <v>9.204171598277805E-2</v>
      </c>
      <c r="Y5" s="53">
        <v>0.74982998278991408</v>
      </c>
      <c r="Z5" s="53">
        <v>0.3458</v>
      </c>
    </row>
    <row r="6" spans="1:26">
      <c r="A6" s="3" t="s">
        <v>203</v>
      </c>
      <c r="B6" s="3">
        <v>34</v>
      </c>
      <c r="C6" s="53">
        <v>0.21942111111111109</v>
      </c>
      <c r="D6" s="53">
        <v>4.8872226502177721E-2</v>
      </c>
      <c r="E6" s="53">
        <v>5.1866325086608607E-2</v>
      </c>
      <c r="F6" s="53">
        <v>3.1169075211201127E-2</v>
      </c>
      <c r="G6" s="54">
        <v>1.2350491404565327</v>
      </c>
      <c r="H6" s="54">
        <v>1.5223779065768546</v>
      </c>
      <c r="I6" s="53">
        <v>0.10882938370253531</v>
      </c>
      <c r="J6" s="53">
        <v>0.59698514250325996</v>
      </c>
      <c r="K6" s="53">
        <v>5.3524000000000002E-2</v>
      </c>
      <c r="L6" s="53">
        <v>0.23680000000000001</v>
      </c>
      <c r="M6" s="53">
        <v>9.256758422542409E-2</v>
      </c>
      <c r="N6" s="54">
        <v>1.0487316786221139</v>
      </c>
      <c r="O6" s="54">
        <v>2.4924481910179397</v>
      </c>
      <c r="P6" s="54">
        <v>21.649291457975476</v>
      </c>
      <c r="Q6" s="54">
        <v>49.578165599480705</v>
      </c>
      <c r="R6" s="54">
        <v>4.5988812443196219</v>
      </c>
      <c r="S6" s="54">
        <v>21.120152874872904</v>
      </c>
      <c r="T6" s="53">
        <v>-2.1993841210595461E-2</v>
      </c>
      <c r="U6" s="53">
        <v>4.6115116875564834E-2</v>
      </c>
      <c r="V6" s="53">
        <v>2.6576673289955756E-2</v>
      </c>
      <c r="W6" s="53">
        <v>0.81471031512595593</v>
      </c>
      <c r="X6" s="53">
        <v>9.3709081086337465E-2</v>
      </c>
      <c r="Y6" s="53">
        <v>0.35459224927693617</v>
      </c>
      <c r="Z6" s="53">
        <v>0.45179999999999998</v>
      </c>
    </row>
    <row r="7" spans="1:26">
      <c r="A7" s="3" t="s">
        <v>204</v>
      </c>
      <c r="B7" s="3">
        <v>39</v>
      </c>
      <c r="C7" s="53">
        <v>6.2846956521739161E-2</v>
      </c>
      <c r="D7" s="53">
        <v>5.3789507038604453E-2</v>
      </c>
      <c r="E7" s="53">
        <v>0.10156047044070848</v>
      </c>
      <c r="F7" s="53">
        <v>0.14615612198755554</v>
      </c>
      <c r="G7" s="54">
        <v>1.0435695401867646</v>
      </c>
      <c r="H7" s="54">
        <v>1.3444265903808044</v>
      </c>
      <c r="I7" s="53">
        <v>0.100643623157517</v>
      </c>
      <c r="J7" s="53">
        <v>0.37071964001600449</v>
      </c>
      <c r="K7" s="53">
        <v>5.0854999999999997E-2</v>
      </c>
      <c r="L7" s="53">
        <v>0.2777</v>
      </c>
      <c r="M7" s="53">
        <v>8.3289044478111765E-2</v>
      </c>
      <c r="N7" s="54">
        <v>2.0047909637588615</v>
      </c>
      <c r="O7" s="54">
        <v>0.81660915840074455</v>
      </c>
      <c r="P7" s="54">
        <v>7.0555269605485504</v>
      </c>
      <c r="Q7" s="54">
        <v>14.11643631329104</v>
      </c>
      <c r="R7" s="54">
        <v>1.9975303469056522</v>
      </c>
      <c r="S7" s="54">
        <v>39.033424628609531</v>
      </c>
      <c r="T7" s="53">
        <v>0.15450924675978886</v>
      </c>
      <c r="U7" s="53">
        <v>2.087451364490318E-2</v>
      </c>
      <c r="V7" s="53">
        <v>3.1693603646353471E-2</v>
      </c>
      <c r="W7" s="53">
        <v>0.95183324795159374</v>
      </c>
      <c r="X7" s="53">
        <v>5.7236136729090913E-2</v>
      </c>
      <c r="Y7" s="53">
        <v>0.4536555295436519</v>
      </c>
      <c r="Z7" s="53">
        <v>0.18140000000000001</v>
      </c>
    </row>
    <row r="8" spans="1:26">
      <c r="A8" s="3" t="s">
        <v>205</v>
      </c>
      <c r="B8" s="3">
        <v>15</v>
      </c>
      <c r="C8" s="53">
        <v>7.2753846153846155E-2</v>
      </c>
      <c r="D8" s="53">
        <v>8.1200893217945561E-4</v>
      </c>
      <c r="E8" s="53">
        <v>1.7809965864835952E-4</v>
      </c>
      <c r="F8" s="53">
        <v>0.1768572683971302</v>
      </c>
      <c r="G8" s="54">
        <v>0.40491745289066799</v>
      </c>
      <c r="H8" s="54">
        <v>1.0613761697933088</v>
      </c>
      <c r="I8" s="53">
        <v>8.7623303810492215E-2</v>
      </c>
      <c r="J8" s="53">
        <v>0.22510527234137442</v>
      </c>
      <c r="K8" s="53">
        <v>4.5043E-2</v>
      </c>
      <c r="L8" s="53">
        <v>0.68369999999999997</v>
      </c>
      <c r="M8" s="53">
        <v>5.0811819504918643E-2</v>
      </c>
      <c r="N8" s="54">
        <v>0.26645699933051714</v>
      </c>
      <c r="O8" s="54">
        <v>5.265879881670676</v>
      </c>
      <c r="P8" s="54" t="s">
        <v>584</v>
      </c>
      <c r="Q8" s="54" t="s">
        <v>584</v>
      </c>
      <c r="R8" s="54">
        <v>1.0492601893677032</v>
      </c>
      <c r="S8" s="54">
        <v>8.547358658097874</v>
      </c>
      <c r="T8" s="3" t="s">
        <v>584</v>
      </c>
      <c r="U8" s="53">
        <v>1.0567244136700984E-2</v>
      </c>
      <c r="V8" s="53">
        <v>1.2953142452475423E-2</v>
      </c>
      <c r="W8" s="3">
        <v>55.728776313853096</v>
      </c>
      <c r="X8" s="53">
        <v>0.14874034732315899</v>
      </c>
      <c r="Y8" s="53">
        <v>0.24337970298838549</v>
      </c>
      <c r="Z8" s="53">
        <v>0.21279999999999999</v>
      </c>
    </row>
    <row r="9" spans="1:26">
      <c r="A9" s="3" t="s">
        <v>206</v>
      </c>
      <c r="B9" s="3">
        <v>625</v>
      </c>
      <c r="C9" s="53">
        <v>9.2156242299794702E-2</v>
      </c>
      <c r="D9" s="53">
        <v>-1.7660881241903206E-3</v>
      </c>
      <c r="E9" s="53">
        <v>-5.3374958145126011E-4</v>
      </c>
      <c r="F9" s="53">
        <v>0.17694013741619696</v>
      </c>
      <c r="G9" s="54">
        <v>0.26133928703325032</v>
      </c>
      <c r="H9" s="54">
        <v>0.46115813409367462</v>
      </c>
      <c r="I9" s="53">
        <v>6.0013274168309032E-2</v>
      </c>
      <c r="J9" s="53">
        <v>0.1867735328629955</v>
      </c>
      <c r="K9" s="53">
        <v>4.5043E-2</v>
      </c>
      <c r="L9" s="53">
        <v>0.50480000000000003</v>
      </c>
      <c r="M9" s="53">
        <v>4.677137344346035E-2</v>
      </c>
      <c r="N9" s="54">
        <v>0.3671924593155293</v>
      </c>
      <c r="O9" s="54">
        <v>4.4737564903858402</v>
      </c>
      <c r="P9" s="54" t="s">
        <v>584</v>
      </c>
      <c r="Q9" s="54" t="s">
        <v>584</v>
      </c>
      <c r="R9" s="54">
        <v>1.0188589222331499</v>
      </c>
      <c r="S9" s="54">
        <v>35.966292420385749</v>
      </c>
      <c r="T9" s="3" t="s">
        <v>584</v>
      </c>
      <c r="U9" s="53">
        <v>2.0083498513917483E-2</v>
      </c>
      <c r="V9" s="53">
        <v>-0.10087904726752299</v>
      </c>
      <c r="W9" s="3" t="s">
        <v>584</v>
      </c>
      <c r="X9" s="53">
        <v>0.12142592116953591</v>
      </c>
      <c r="Y9" s="53">
        <v>0.32014617865318346</v>
      </c>
      <c r="Z9" s="53">
        <v>0.27689999999999998</v>
      </c>
    </row>
    <row r="10" spans="1:26">
      <c r="A10" s="3" t="s">
        <v>207</v>
      </c>
      <c r="B10" s="3">
        <v>19</v>
      </c>
      <c r="C10" s="53">
        <v>0.12062222222222224</v>
      </c>
      <c r="D10" s="53">
        <v>0.20751043151831927</v>
      </c>
      <c r="E10" s="53">
        <v>0.16670846804136458</v>
      </c>
      <c r="F10" s="53">
        <v>0.10420025692940119</v>
      </c>
      <c r="G10" s="54">
        <v>0.95635660943926404</v>
      </c>
      <c r="H10" s="54">
        <v>1.1318349126688121</v>
      </c>
      <c r="I10" s="53">
        <v>9.0864405982765351E-2</v>
      </c>
      <c r="J10" s="53">
        <v>0.4970414041193621</v>
      </c>
      <c r="K10" s="53">
        <v>5.0854999999999997E-2</v>
      </c>
      <c r="L10" s="53">
        <v>0.1966</v>
      </c>
      <c r="M10" s="53">
        <v>8.0501130833118884E-2</v>
      </c>
      <c r="N10" s="54">
        <v>0.89682311533521308</v>
      </c>
      <c r="O10" s="54">
        <v>3.8916686876869191</v>
      </c>
      <c r="P10" s="54">
        <v>14.843529532980639</v>
      </c>
      <c r="Q10" s="54">
        <v>18.678840886226705</v>
      </c>
      <c r="R10" s="54">
        <v>3.0993348768756093</v>
      </c>
      <c r="S10" s="54">
        <v>35.375901073895371</v>
      </c>
      <c r="T10" s="53">
        <v>0.17116248155736727</v>
      </c>
      <c r="U10" s="53">
        <v>4.4906602485042947E-2</v>
      </c>
      <c r="V10" s="53">
        <v>9.390305849002889E-2</v>
      </c>
      <c r="W10" s="53">
        <v>0.90812968595804455</v>
      </c>
      <c r="X10" s="53">
        <v>8.69908980857384E-2</v>
      </c>
      <c r="Y10" s="53">
        <v>0.54634665208152333</v>
      </c>
      <c r="Z10" s="53">
        <v>0.30959999999999999</v>
      </c>
    </row>
    <row r="11" spans="1:26">
      <c r="A11" s="3" t="s">
        <v>208</v>
      </c>
      <c r="B11" s="3">
        <v>29</v>
      </c>
      <c r="C11" s="53">
        <v>0.28579076923076918</v>
      </c>
      <c r="D11" s="53">
        <v>0.19392744260680844</v>
      </c>
      <c r="E11" s="53">
        <v>0.3065163030779624</v>
      </c>
      <c r="F11" s="53">
        <v>6.675054463698489E-2</v>
      </c>
      <c r="G11" s="54">
        <v>0.67720463555625598</v>
      </c>
      <c r="H11" s="54">
        <v>0.76414587542458534</v>
      </c>
      <c r="I11" s="53">
        <v>7.3950710269530928E-2</v>
      </c>
      <c r="J11" s="53">
        <v>0.42961071148670704</v>
      </c>
      <c r="K11" s="53">
        <v>5.0854999999999997E-2</v>
      </c>
      <c r="L11" s="53">
        <v>0.1462</v>
      </c>
      <c r="M11" s="53">
        <v>6.8716875642939296E-2</v>
      </c>
      <c r="N11" s="54">
        <v>1.6931990505110932</v>
      </c>
      <c r="O11" s="54">
        <v>4.164625625009446</v>
      </c>
      <c r="P11" s="54">
        <v>18.067516918352702</v>
      </c>
      <c r="Q11" s="54">
        <v>21.467253635523878</v>
      </c>
      <c r="R11" s="54">
        <v>7.4226028259444998</v>
      </c>
      <c r="S11" s="54">
        <v>33.673065255533182</v>
      </c>
      <c r="T11" s="53">
        <v>-7.1416168745672318E-2</v>
      </c>
      <c r="U11" s="53">
        <v>7.4061711823084256E-2</v>
      </c>
      <c r="V11" s="53">
        <v>2.386992815326883E-2</v>
      </c>
      <c r="W11" s="53">
        <v>0.25676455571759477</v>
      </c>
      <c r="X11" s="53">
        <v>0.30557353679830446</v>
      </c>
      <c r="Y11" s="53">
        <v>0.6638966866591276</v>
      </c>
      <c r="Z11" s="53">
        <v>0.83530000000000004</v>
      </c>
    </row>
    <row r="12" spans="1:26">
      <c r="A12" s="3" t="s">
        <v>209</v>
      </c>
      <c r="B12" s="3">
        <v>22</v>
      </c>
      <c r="C12" s="53">
        <v>5.4847058823529415E-2</v>
      </c>
      <c r="D12" s="53">
        <v>0.1173118396963372</v>
      </c>
      <c r="E12" s="53">
        <v>0.12063888924002568</v>
      </c>
      <c r="F12" s="53">
        <v>7.8549043141772593E-2</v>
      </c>
      <c r="G12" s="54">
        <v>0.45670163170099376</v>
      </c>
      <c r="H12" s="54">
        <v>1.0609243999049403</v>
      </c>
      <c r="I12" s="53">
        <v>8.7602522395627255E-2</v>
      </c>
      <c r="J12" s="53">
        <v>0.38457133667076027</v>
      </c>
      <c r="K12" s="53">
        <v>5.0854999999999997E-2</v>
      </c>
      <c r="L12" s="53">
        <v>0.63819999999999999</v>
      </c>
      <c r="M12" s="53">
        <v>5.603594331400262E-2</v>
      </c>
      <c r="N12" s="54">
        <v>1.1159893806472496</v>
      </c>
      <c r="O12" s="54">
        <v>1.2533019633843616</v>
      </c>
      <c r="P12" s="54">
        <v>7.3098296438361263</v>
      </c>
      <c r="Q12" s="54">
        <v>10.673057550494407</v>
      </c>
      <c r="R12" s="54">
        <v>0.80101351287155709</v>
      </c>
      <c r="S12" s="54">
        <v>7.8167811735331334</v>
      </c>
      <c r="T12" s="53">
        <v>0.10922957427443249</v>
      </c>
      <c r="U12" s="53">
        <v>-1.0518597030448126E-2</v>
      </c>
      <c r="V12" s="53">
        <v>-2.0612152442738167E-2</v>
      </c>
      <c r="W12" s="53">
        <v>2.1143668601085928</v>
      </c>
      <c r="X12" s="53">
        <v>-2.1565149058570276E-2</v>
      </c>
      <c r="Y12" s="53">
        <v>2.1958759739129407E-3</v>
      </c>
      <c r="Z12" s="53">
        <v>0.20399999999999999</v>
      </c>
    </row>
    <row r="13" spans="1:26">
      <c r="A13" s="3" t="s">
        <v>210</v>
      </c>
      <c r="B13" s="3">
        <v>27</v>
      </c>
      <c r="C13" s="53">
        <v>0.12787473684210526</v>
      </c>
      <c r="D13" s="53">
        <v>6.6235178889569139E-3</v>
      </c>
      <c r="E13" s="53">
        <v>1.307446941021954E-3</v>
      </c>
      <c r="F13" s="53">
        <v>0.16840414602423662</v>
      </c>
      <c r="G13" s="54">
        <v>0.41563644610229206</v>
      </c>
      <c r="H13" s="54">
        <v>1.120326193984736</v>
      </c>
      <c r="I13" s="53">
        <v>9.0335004923297851E-2</v>
      </c>
      <c r="J13" s="53">
        <v>0.25213732428210645</v>
      </c>
      <c r="K13" s="53">
        <v>5.0854999999999997E-2</v>
      </c>
      <c r="L13" s="53">
        <v>0.69330000000000003</v>
      </c>
      <c r="M13" s="53">
        <v>5.4148674889421655E-2</v>
      </c>
      <c r="N13" s="54">
        <v>0.27949922437037333</v>
      </c>
      <c r="O13" s="54">
        <v>5.6097535469357611</v>
      </c>
      <c r="P13" s="54" t="s">
        <v>584</v>
      </c>
      <c r="Q13" s="54" t="s">
        <v>584</v>
      </c>
      <c r="R13" s="54">
        <v>1.6565413108416178</v>
      </c>
      <c r="S13" s="54">
        <v>222.18514648652769</v>
      </c>
      <c r="T13" s="3" t="s">
        <v>584</v>
      </c>
      <c r="U13" s="53">
        <v>2.7448227056769928E-2</v>
      </c>
      <c r="V13" s="53">
        <v>1.6766162791348155E-2</v>
      </c>
      <c r="W13" s="53">
        <v>56.433655889964861</v>
      </c>
      <c r="X13" s="53">
        <v>0.10413110832014963</v>
      </c>
      <c r="Y13" s="53">
        <v>0.4352511082051424</v>
      </c>
      <c r="Z13" s="53">
        <v>0.252</v>
      </c>
    </row>
    <row r="14" spans="1:26">
      <c r="A14" s="3" t="s">
        <v>211</v>
      </c>
      <c r="B14" s="3">
        <v>44</v>
      </c>
      <c r="C14" s="53">
        <v>6.4077647058823517E-2</v>
      </c>
      <c r="D14" s="53">
        <v>0.13699109649917485</v>
      </c>
      <c r="E14" s="53">
        <v>0.25267057444947799</v>
      </c>
      <c r="F14" s="53">
        <v>0.19935747379008123</v>
      </c>
      <c r="G14" s="54">
        <v>1.1599138231370081</v>
      </c>
      <c r="H14" s="54">
        <v>1.3177985305249351</v>
      </c>
      <c r="I14" s="53">
        <v>9.9418732404147017E-2</v>
      </c>
      <c r="J14" s="53">
        <v>0.28715879840268466</v>
      </c>
      <c r="K14" s="53">
        <v>5.0854999999999997E-2</v>
      </c>
      <c r="L14" s="53">
        <v>0.15359999999999999</v>
      </c>
      <c r="M14" s="53">
        <v>9.0005822872010727E-2</v>
      </c>
      <c r="N14" s="54">
        <v>2.2882186586804418</v>
      </c>
      <c r="O14" s="54">
        <v>2.1109365215921261</v>
      </c>
      <c r="P14" s="54">
        <v>12.010468803767779</v>
      </c>
      <c r="Q14" s="54">
        <v>15.394243623712891</v>
      </c>
      <c r="R14" s="54">
        <v>4.735200284670956</v>
      </c>
      <c r="S14" s="54">
        <v>24.847889315631068</v>
      </c>
      <c r="T14" s="53">
        <v>0.18356211311341869</v>
      </c>
      <c r="U14" s="53">
        <v>4.5278882463038071E-3</v>
      </c>
      <c r="V14" s="53">
        <v>2.4513125773923429E-2</v>
      </c>
      <c r="W14" s="53">
        <v>-7.6166544925225102E-3</v>
      </c>
      <c r="X14" s="53">
        <v>0.21354650605206582</v>
      </c>
      <c r="Y14" s="53">
        <v>0.29019405797616848</v>
      </c>
      <c r="Z14" s="53">
        <v>0.24879999999999999</v>
      </c>
    </row>
    <row r="15" spans="1:26">
      <c r="A15" s="3" t="s">
        <v>212</v>
      </c>
      <c r="B15" s="3">
        <v>162</v>
      </c>
      <c r="C15" s="53">
        <v>6.6924269662921379E-2</v>
      </c>
      <c r="D15" s="53">
        <v>0.11270924431242947</v>
      </c>
      <c r="E15" s="53">
        <v>0.27452359974428153</v>
      </c>
      <c r="F15" s="53">
        <v>0.10838486587183108</v>
      </c>
      <c r="G15" s="54">
        <v>0.90089162028765546</v>
      </c>
      <c r="H15" s="54">
        <v>1.0221017216409709</v>
      </c>
      <c r="I15" s="53">
        <v>8.5816679195484663E-2</v>
      </c>
      <c r="J15" s="53">
        <v>0.41290054994468384</v>
      </c>
      <c r="K15" s="53">
        <v>5.0854999999999997E-2</v>
      </c>
      <c r="L15" s="53">
        <v>0.15210000000000001</v>
      </c>
      <c r="M15" s="53">
        <v>7.8564957246433781E-2</v>
      </c>
      <c r="N15" s="54">
        <v>2.7218927299604339</v>
      </c>
      <c r="O15" s="54">
        <v>2.6819987829385279</v>
      </c>
      <c r="P15" s="54">
        <v>16.123377912677118</v>
      </c>
      <c r="Q15" s="54">
        <v>23.493439699858502</v>
      </c>
      <c r="R15" s="54">
        <v>5.5355120575616938</v>
      </c>
      <c r="S15" s="54">
        <v>86.899382361961813</v>
      </c>
      <c r="T15" s="53">
        <v>0.13484425179191181</v>
      </c>
      <c r="U15" s="53">
        <v>3.4450903020820478E-3</v>
      </c>
      <c r="V15" s="53">
        <v>1.6940121240038436E-2</v>
      </c>
      <c r="W15" s="53">
        <v>0.25446821033167139</v>
      </c>
      <c r="X15" s="53">
        <v>0.1399754737551486</v>
      </c>
      <c r="Y15" s="53">
        <v>0.59783007780719277</v>
      </c>
      <c r="Z15" s="53">
        <v>0.42409999999999998</v>
      </c>
    </row>
    <row r="16" spans="1:26">
      <c r="A16" s="3" t="s">
        <v>213</v>
      </c>
      <c r="B16" s="3">
        <v>10</v>
      </c>
      <c r="C16" s="53">
        <v>0.16231666666666669</v>
      </c>
      <c r="D16" s="53">
        <v>0.19076966236526571</v>
      </c>
      <c r="E16" s="53">
        <v>0.11311872163563386</v>
      </c>
      <c r="F16" s="53">
        <v>0.23715496806034392</v>
      </c>
      <c r="G16" s="54">
        <v>0.72426434365856862</v>
      </c>
      <c r="H16" s="54">
        <v>1.2767983158980267</v>
      </c>
      <c r="I16" s="53">
        <v>9.7532722531309235E-2</v>
      </c>
      <c r="J16" s="53">
        <v>0.3300530419558696</v>
      </c>
      <c r="K16" s="53">
        <v>5.0854999999999997E-2</v>
      </c>
      <c r="L16" s="53">
        <v>0.50429999999999997</v>
      </c>
      <c r="M16" s="53">
        <v>6.7583976535791179E-2</v>
      </c>
      <c r="N16" s="54">
        <v>0.77672236932259209</v>
      </c>
      <c r="O16" s="54">
        <v>2.5465853835816081</v>
      </c>
      <c r="P16" s="54">
        <v>7.8008723610498603</v>
      </c>
      <c r="Q16" s="54">
        <v>13.348955942597875</v>
      </c>
      <c r="R16" s="54">
        <v>2.063094529414669</v>
      </c>
      <c r="S16" s="54">
        <v>16.12065991866249</v>
      </c>
      <c r="T16" s="53">
        <v>-9.7741192310436191E-4</v>
      </c>
      <c r="U16" s="53">
        <v>-1.74479403422238E-2</v>
      </c>
      <c r="V16" s="53">
        <v>1.6512641327761278E-2</v>
      </c>
      <c r="W16" s="53">
        <v>0.15767366778442643</v>
      </c>
      <c r="X16" s="53">
        <v>0.19466771140821634</v>
      </c>
      <c r="Y16" s="53">
        <v>0.21927067291667543</v>
      </c>
      <c r="Z16" s="53">
        <v>0.43099999999999999</v>
      </c>
    </row>
    <row r="17" spans="1:26">
      <c r="A17" s="3" t="s">
        <v>214</v>
      </c>
      <c r="B17" s="3">
        <v>32</v>
      </c>
      <c r="C17" s="53">
        <v>0.11316100000000001</v>
      </c>
      <c r="D17" s="53">
        <v>8.0215131840730133E-2</v>
      </c>
      <c r="E17" s="53">
        <v>0.11808931523559212</v>
      </c>
      <c r="F17" s="53">
        <v>8.9332392882258332E-2</v>
      </c>
      <c r="G17" s="54">
        <v>0.81654229864325789</v>
      </c>
      <c r="H17" s="54">
        <v>1.096267077331708</v>
      </c>
      <c r="I17" s="53">
        <v>8.9228285557258563E-2</v>
      </c>
      <c r="J17" s="53">
        <v>0.38924523542650602</v>
      </c>
      <c r="K17" s="53">
        <v>5.0854999999999997E-2</v>
      </c>
      <c r="L17" s="53">
        <v>0.3135</v>
      </c>
      <c r="M17" s="53">
        <v>7.3210120441106613E-2</v>
      </c>
      <c r="N17" s="54">
        <v>1.6175128141587387</v>
      </c>
      <c r="O17" s="54">
        <v>1.1499985705299101</v>
      </c>
      <c r="P17" s="54">
        <v>8.0995322699832801</v>
      </c>
      <c r="Q17" s="54">
        <v>14.05606834124257</v>
      </c>
      <c r="R17" s="54">
        <v>1.9757813391316583</v>
      </c>
      <c r="S17" s="54">
        <v>12.407994201775024</v>
      </c>
      <c r="T17" s="53">
        <v>0.14739172149447363</v>
      </c>
      <c r="U17" s="53">
        <v>3.1644256342847926E-2</v>
      </c>
      <c r="V17" s="53">
        <v>3.0793498175279994E-2</v>
      </c>
      <c r="W17" s="53">
        <v>0.17366700473212501</v>
      </c>
      <c r="X17" s="53">
        <v>8.8946041576985921E-2</v>
      </c>
      <c r="Y17" s="53">
        <v>1.3126657214952435</v>
      </c>
      <c r="Z17" s="53">
        <v>3.0999999999999999E-3</v>
      </c>
    </row>
    <row r="18" spans="1:26">
      <c r="A18" s="3" t="s">
        <v>215</v>
      </c>
      <c r="B18" s="3">
        <v>4</v>
      </c>
      <c r="C18" s="53">
        <v>-7.5500000000000038E-3</v>
      </c>
      <c r="D18" s="53">
        <v>1.5742833404804896E-2</v>
      </c>
      <c r="E18" s="53">
        <v>1.5720852535763625E-2</v>
      </c>
      <c r="F18" s="53">
        <v>0.14892889699179582</v>
      </c>
      <c r="G18" s="54">
        <v>0.74486153734767913</v>
      </c>
      <c r="H18" s="54">
        <v>1.1332797311390761</v>
      </c>
      <c r="I18" s="53">
        <v>9.0930867632397494E-2</v>
      </c>
      <c r="J18" s="53">
        <v>0.37242278384437877</v>
      </c>
      <c r="K18" s="53">
        <v>5.0854999999999997E-2</v>
      </c>
      <c r="L18" s="53">
        <v>0.41010000000000002</v>
      </c>
      <c r="M18" s="53">
        <v>6.9280334592114287E-2</v>
      </c>
      <c r="N18" s="54">
        <v>1.2786447256557913</v>
      </c>
      <c r="O18" s="54">
        <v>1.1597139266470613</v>
      </c>
      <c r="P18" s="54">
        <v>15.396063877133198</v>
      </c>
      <c r="Q18" s="54">
        <v>73.615159171578384</v>
      </c>
      <c r="R18" s="54">
        <v>1.9746042510627253</v>
      </c>
      <c r="S18" s="54">
        <v>30.527729815250837</v>
      </c>
      <c r="T18" s="53">
        <v>0.17621388838495999</v>
      </c>
      <c r="U18" s="53">
        <v>2.3919844159355344E-2</v>
      </c>
      <c r="V18" s="53">
        <v>-5.7903354329949218E-3</v>
      </c>
      <c r="W18" s="53">
        <v>-5.556514170837235</v>
      </c>
      <c r="X18" s="53">
        <v>-2.3605004225089869E-2</v>
      </c>
      <c r="Y18" s="53">
        <v>1.037037037037037E-2</v>
      </c>
      <c r="Z18" s="53">
        <v>0.43959999999999999</v>
      </c>
    </row>
    <row r="19" spans="1:26">
      <c r="A19" s="3" t="s">
        <v>216</v>
      </c>
      <c r="B19" s="3">
        <v>68</v>
      </c>
      <c r="C19" s="53">
        <v>7.3318750000000016E-2</v>
      </c>
      <c r="D19" s="53">
        <v>0.13255076866002388</v>
      </c>
      <c r="E19" s="53">
        <v>0.13505275648152232</v>
      </c>
      <c r="F19" s="53">
        <v>0.10395775946098325</v>
      </c>
      <c r="G19" s="54">
        <v>0.90527818961125484</v>
      </c>
      <c r="H19" s="54">
        <v>1.0873832852797658</v>
      </c>
      <c r="I19" s="53">
        <v>8.8819631122869225E-2</v>
      </c>
      <c r="J19" s="53">
        <v>0.36600539277751015</v>
      </c>
      <c r="K19" s="53">
        <v>5.0854999999999997E-2</v>
      </c>
      <c r="L19" s="53">
        <v>0.21149999999999999</v>
      </c>
      <c r="M19" s="53">
        <v>7.8101735296179364E-2</v>
      </c>
      <c r="N19" s="54">
        <v>1.15732408251221</v>
      </c>
      <c r="O19" s="54">
        <v>2.6791416225374163</v>
      </c>
      <c r="P19" s="54">
        <v>12.849678147864511</v>
      </c>
      <c r="Q19" s="54">
        <v>19.995555424351952</v>
      </c>
      <c r="R19" s="54">
        <v>2.67276074057165</v>
      </c>
      <c r="S19" s="54">
        <v>60.901134435897625</v>
      </c>
      <c r="T19" s="53">
        <v>0.22747765886505658</v>
      </c>
      <c r="U19" s="53">
        <v>2.3084996958236067E-2</v>
      </c>
      <c r="V19" s="53">
        <v>9.8115172777548026E-2</v>
      </c>
      <c r="W19" s="53">
        <v>1.0348496791866486</v>
      </c>
      <c r="X19" s="53">
        <v>0.14943273384769459</v>
      </c>
      <c r="Y19" s="53">
        <v>0.33249927210754887</v>
      </c>
      <c r="Z19" s="53">
        <v>0.2903</v>
      </c>
    </row>
    <row r="20" spans="1:26">
      <c r="A20" s="3" t="s">
        <v>217</v>
      </c>
      <c r="B20" s="3">
        <v>18</v>
      </c>
      <c r="C20" s="53">
        <v>5.559999999999999E-2</v>
      </c>
      <c r="D20" s="53">
        <v>0.20628016917033085</v>
      </c>
      <c r="E20" s="53">
        <v>0.29497550992564786</v>
      </c>
      <c r="F20" s="53">
        <v>2.6193822905913572E-2</v>
      </c>
      <c r="G20" s="54">
        <v>1.0869710749078612</v>
      </c>
      <c r="H20" s="54">
        <v>1.2707580825145446</v>
      </c>
      <c r="I20" s="53">
        <v>9.7254871795669051E-2</v>
      </c>
      <c r="J20" s="53">
        <v>0.55692259899700314</v>
      </c>
      <c r="K20" s="53">
        <v>5.3524000000000002E-2</v>
      </c>
      <c r="L20" s="53">
        <v>0.184</v>
      </c>
      <c r="M20" s="53">
        <v>8.6748105912023726E-2</v>
      </c>
      <c r="N20" s="54">
        <v>1.4739520943470472</v>
      </c>
      <c r="O20" s="54">
        <v>1.329263856564374</v>
      </c>
      <c r="P20" s="54">
        <v>2.7528990930238861</v>
      </c>
      <c r="Q20" s="54">
        <v>4.0368281544460292</v>
      </c>
      <c r="R20" s="54">
        <v>1.7901440274639588</v>
      </c>
      <c r="S20" s="54">
        <v>91.912422983759726</v>
      </c>
      <c r="T20" s="53">
        <v>6.1300782894183045E-2</v>
      </c>
      <c r="U20" s="53">
        <v>-7.1878003963649864E-2</v>
      </c>
      <c r="V20" s="53">
        <v>1.5940120019722653E-2</v>
      </c>
      <c r="W20" s="53">
        <v>0.13283664539899678</v>
      </c>
      <c r="X20" s="53">
        <v>0.29069215958320355</v>
      </c>
      <c r="Y20" s="53">
        <v>0.15155665948302102</v>
      </c>
      <c r="Z20" s="53">
        <v>2.8899999999999999E-2</v>
      </c>
    </row>
    <row r="21" spans="1:26">
      <c r="A21" s="3" t="s">
        <v>218</v>
      </c>
      <c r="B21" s="3">
        <v>72</v>
      </c>
      <c r="C21" s="53">
        <v>0.10926473684210528</v>
      </c>
      <c r="D21" s="53">
        <v>7.2661249466694E-2</v>
      </c>
      <c r="E21" s="53">
        <v>0.24167411086330845</v>
      </c>
      <c r="F21" s="53">
        <v>7.7823252777476412E-2</v>
      </c>
      <c r="G21" s="54">
        <v>0.81843948880648487</v>
      </c>
      <c r="H21" s="54">
        <v>0.99732353782806837</v>
      </c>
      <c r="I21" s="53">
        <v>8.4676882740091136E-2</v>
      </c>
      <c r="J21" s="53">
        <v>0.49612772702274627</v>
      </c>
      <c r="K21" s="53">
        <v>5.0854999999999997E-2</v>
      </c>
      <c r="L21" s="53">
        <v>0.22570000000000001</v>
      </c>
      <c r="M21" s="53">
        <v>7.4175635228796638E-2</v>
      </c>
      <c r="N21" s="54">
        <v>3.5867521403435378</v>
      </c>
      <c r="O21" s="54">
        <v>1.3742206681743261</v>
      </c>
      <c r="P21" s="54">
        <v>12.610910959671749</v>
      </c>
      <c r="Q21" s="54">
        <v>18.862943171557092</v>
      </c>
      <c r="R21" s="54">
        <v>4.3745780390573517</v>
      </c>
      <c r="S21" s="54">
        <v>76.132199815532758</v>
      </c>
      <c r="T21" s="53">
        <v>0.13853121727988529</v>
      </c>
      <c r="U21" s="53">
        <v>-1.3398434376508724E-3</v>
      </c>
      <c r="V21" s="53">
        <v>8.2343910033029176E-3</v>
      </c>
      <c r="W21" s="53">
        <v>0.23795588571918946</v>
      </c>
      <c r="X21" s="53">
        <v>0.18772570752648005</v>
      </c>
      <c r="Y21" s="53">
        <v>0.57072644434029085</v>
      </c>
      <c r="Z21" s="53">
        <v>0.2833</v>
      </c>
    </row>
    <row r="22" spans="1:26">
      <c r="A22" s="3" t="s">
        <v>219</v>
      </c>
      <c r="B22" s="3">
        <v>36</v>
      </c>
      <c r="C22" s="53">
        <v>2.3118148148148145E-2</v>
      </c>
      <c r="D22" s="53">
        <v>0.2105083414698482</v>
      </c>
      <c r="E22" s="53">
        <v>0.37798197124632166</v>
      </c>
      <c r="F22" s="53">
        <v>8.6699287009235834E-2</v>
      </c>
      <c r="G22" s="54">
        <v>1.0834247258419334</v>
      </c>
      <c r="H22" s="54">
        <v>1.1329223650294353</v>
      </c>
      <c r="I22" s="53">
        <v>9.0914428791354029E-2</v>
      </c>
      <c r="J22" s="53">
        <v>0.38898164531276785</v>
      </c>
      <c r="K22" s="53">
        <v>5.0854999999999997E-2</v>
      </c>
      <c r="L22" s="53">
        <v>5.74E-2</v>
      </c>
      <c r="M22" s="53">
        <v>8.7884327608428986E-2</v>
      </c>
      <c r="N22" s="54">
        <v>1.9227871093142761</v>
      </c>
      <c r="O22" s="54">
        <v>5.5117305732812101</v>
      </c>
      <c r="P22" s="54">
        <v>21.831632280697495</v>
      </c>
      <c r="Q22" s="54">
        <v>25.971419409717786</v>
      </c>
      <c r="R22" s="54">
        <v>30.982880033408666</v>
      </c>
      <c r="S22" s="54">
        <v>31.833390779893396</v>
      </c>
      <c r="T22" s="53">
        <v>-9.8693444874868835E-2</v>
      </c>
      <c r="U22" s="53">
        <v>1.7043799815278755E-3</v>
      </c>
      <c r="V22" s="53">
        <v>9.0047013395217704E-3</v>
      </c>
      <c r="W22" s="53">
        <v>9.2441186690531002E-2</v>
      </c>
      <c r="X22" s="53">
        <v>-1.2342890084991339E-5</v>
      </c>
      <c r="Y22" s="53">
        <v>0.17443899392066986</v>
      </c>
      <c r="Z22" s="53">
        <v>0.2351</v>
      </c>
    </row>
    <row r="23" spans="1:26">
      <c r="A23" s="3" t="s">
        <v>220</v>
      </c>
      <c r="B23" s="3">
        <v>11</v>
      </c>
      <c r="C23" s="53">
        <v>9.3214285714285708E-2</v>
      </c>
      <c r="D23" s="53">
        <v>0.18714102189619572</v>
      </c>
      <c r="E23" s="53">
        <v>0.16917184600449708</v>
      </c>
      <c r="F23" s="53">
        <v>0.13942221466442042</v>
      </c>
      <c r="G23" s="54">
        <v>0.83589365616405409</v>
      </c>
      <c r="H23" s="54">
        <v>0.93781621828777395</v>
      </c>
      <c r="I23" s="53">
        <v>8.1939546041237599E-2</v>
      </c>
      <c r="J23" s="53">
        <v>0.30297083677405678</v>
      </c>
      <c r="K23" s="53">
        <v>5.0854999999999997E-2</v>
      </c>
      <c r="L23" s="53">
        <v>0.13980000000000001</v>
      </c>
      <c r="M23" s="53">
        <v>7.5814721150101336E-2</v>
      </c>
      <c r="N23" s="54">
        <v>1.0504344600135633</v>
      </c>
      <c r="O23" s="54">
        <v>4.0960651964189765</v>
      </c>
      <c r="P23" s="54">
        <v>14.937131868626217</v>
      </c>
      <c r="Q23" s="54">
        <v>21.867430131104488</v>
      </c>
      <c r="R23" s="54">
        <v>3.7678129120418093</v>
      </c>
      <c r="S23" s="54">
        <v>63.097848899177691</v>
      </c>
      <c r="T23" s="53">
        <v>0.22904316172646905</v>
      </c>
      <c r="U23" s="53">
        <v>1.963238854994992E-2</v>
      </c>
      <c r="V23" s="53">
        <v>3.4544525640674763E-2</v>
      </c>
      <c r="W23" s="53">
        <v>0.39648111433244615</v>
      </c>
      <c r="X23" s="53">
        <v>0.1720397075859865</v>
      </c>
      <c r="Y23" s="53">
        <v>0.15193309779614278</v>
      </c>
      <c r="Z23" s="53">
        <v>0.44479999999999997</v>
      </c>
    </row>
    <row r="24" spans="1:26">
      <c r="A24" s="3" t="s">
        <v>221</v>
      </c>
      <c r="B24" s="3">
        <v>23</v>
      </c>
      <c r="C24" s="53">
        <v>6.9406363636363641E-2</v>
      </c>
      <c r="D24" s="53">
        <v>0.23072906876887173</v>
      </c>
      <c r="E24" s="53">
        <v>0.20395197737613438</v>
      </c>
      <c r="F24" s="53">
        <v>5.2520475092155787E-2</v>
      </c>
      <c r="G24" s="54">
        <v>1.0447759208185559</v>
      </c>
      <c r="H24" s="54">
        <v>1.1948544445210565</v>
      </c>
      <c r="I24" s="53">
        <v>9.3763304447968598E-2</v>
      </c>
      <c r="J24" s="53">
        <v>0.5225050340018127</v>
      </c>
      <c r="K24" s="53">
        <v>5.3524000000000002E-2</v>
      </c>
      <c r="L24" s="53">
        <v>0.16070000000000001</v>
      </c>
      <c r="M24" s="53">
        <v>8.5144265258040405E-2</v>
      </c>
      <c r="N24" s="54">
        <v>0.93313862274715875</v>
      </c>
      <c r="O24" s="54">
        <v>2.4285333531334716</v>
      </c>
      <c r="P24" s="54">
        <v>8.9346371681963657</v>
      </c>
      <c r="Q24" s="54">
        <v>10.510496860016763</v>
      </c>
      <c r="R24" s="54">
        <v>1.8732585871718974</v>
      </c>
      <c r="S24" s="54">
        <v>13.800008820068092</v>
      </c>
      <c r="T24" s="53">
        <v>5.0020771018464777E-2</v>
      </c>
      <c r="U24" s="53">
        <v>2.9695392039296772E-2</v>
      </c>
      <c r="V24" s="53">
        <v>4.6101030377602686E-2</v>
      </c>
      <c r="W24" s="53">
        <v>0.25080420620828026</v>
      </c>
      <c r="X24" s="53">
        <v>0.15867710900985088</v>
      </c>
      <c r="Y24" s="53">
        <v>8.1605407127575316E-2</v>
      </c>
      <c r="Z24" s="53">
        <v>0.50080000000000002</v>
      </c>
    </row>
    <row r="25" spans="1:26">
      <c r="A25" s="3" t="s">
        <v>222</v>
      </c>
      <c r="B25" s="3">
        <v>572</v>
      </c>
      <c r="C25" s="53">
        <v>0.18950851190476192</v>
      </c>
      <c r="D25" s="53">
        <v>9.2160250476937579E-3</v>
      </c>
      <c r="E25" s="53">
        <v>1.5551579144381567E-2</v>
      </c>
      <c r="F25" s="53">
        <v>8.1446950337839847E-3</v>
      </c>
      <c r="G25" s="54">
        <v>1.0003799688307529</v>
      </c>
      <c r="H25" s="54">
        <v>1.1233547439492362</v>
      </c>
      <c r="I25" s="53">
        <v>9.0474318221664865E-2</v>
      </c>
      <c r="J25" s="53">
        <v>0.6198094773831897</v>
      </c>
      <c r="K25" s="53">
        <v>5.3524000000000002E-2</v>
      </c>
      <c r="L25" s="53">
        <v>0.14080000000000001</v>
      </c>
      <c r="M25" s="53">
        <v>8.3386527301056959E-2</v>
      </c>
      <c r="N25" s="54">
        <v>0.40681193428310364</v>
      </c>
      <c r="O25" s="54">
        <v>6.8880470352138108</v>
      </c>
      <c r="P25" s="54">
        <v>13.519816800069261</v>
      </c>
      <c r="Q25" s="54" t="s">
        <v>584</v>
      </c>
      <c r="R25" s="54">
        <v>6.135291677851848</v>
      </c>
      <c r="S25" s="54">
        <v>30.391605386786914</v>
      </c>
      <c r="T25" s="53">
        <v>9.9810417479148511E-2</v>
      </c>
      <c r="U25" s="53">
        <v>0.37648897569690665</v>
      </c>
      <c r="V25" s="53">
        <v>3.468871974612317E-2</v>
      </c>
      <c r="W25" s="53" t="s">
        <v>584</v>
      </c>
      <c r="X25" s="53">
        <v>-0.11590040227481527</v>
      </c>
      <c r="Y25" s="53">
        <v>8.849667367975925E-4</v>
      </c>
      <c r="Z25" s="53">
        <v>0.32019999999999998</v>
      </c>
    </row>
    <row r="26" spans="1:26">
      <c r="A26" s="3" t="s">
        <v>223</v>
      </c>
      <c r="B26" s="3">
        <v>245</v>
      </c>
      <c r="C26" s="53">
        <v>0.41537666666666667</v>
      </c>
      <c r="D26" s="53">
        <v>0.18154232452557567</v>
      </c>
      <c r="E26" s="53">
        <v>0.13375270622156929</v>
      </c>
      <c r="F26" s="53">
        <v>2.8902976717007978E-2</v>
      </c>
      <c r="G26" s="54">
        <v>0.91663513718941125</v>
      </c>
      <c r="H26" s="54">
        <v>1.0269619624933468</v>
      </c>
      <c r="I26" s="53">
        <v>8.6040250274693947E-2</v>
      </c>
      <c r="J26" s="53">
        <v>0.6530341383257241</v>
      </c>
      <c r="K26" s="53">
        <v>6.0879000000000003E-2</v>
      </c>
      <c r="L26" s="53">
        <v>0.13830000000000001</v>
      </c>
      <c r="M26" s="53">
        <v>8.0456031403846245E-2</v>
      </c>
      <c r="N26" s="54">
        <v>0.64296181942943686</v>
      </c>
      <c r="O26" s="54">
        <v>5.0792398099384464</v>
      </c>
      <c r="P26" s="54">
        <v>16.617974116905632</v>
      </c>
      <c r="Q26" s="54">
        <v>27.428480363585575</v>
      </c>
      <c r="R26" s="54">
        <v>5.1951082931130115</v>
      </c>
      <c r="S26" s="54">
        <v>57.625877349549583</v>
      </c>
      <c r="T26" s="53">
        <v>0.22369121415285234</v>
      </c>
      <c r="U26" s="53">
        <v>9.7390612971969506E-2</v>
      </c>
      <c r="V26" s="53">
        <v>0.1297351632612678</v>
      </c>
      <c r="W26" s="53">
        <v>0.85392631754367632</v>
      </c>
      <c r="X26" s="53">
        <v>0.17320808107952249</v>
      </c>
      <c r="Y26" s="53">
        <v>0.69958361802549229</v>
      </c>
      <c r="Z26" s="53">
        <v>0.69179999999999997</v>
      </c>
    </row>
    <row r="27" spans="1:26">
      <c r="A27" s="3" t="s">
        <v>224</v>
      </c>
      <c r="B27" s="3">
        <v>31</v>
      </c>
      <c r="C27" s="53">
        <v>4.1181874999999993E-2</v>
      </c>
      <c r="D27" s="53">
        <v>5.0709440299989049E-2</v>
      </c>
      <c r="E27" s="53">
        <v>5.9280308281626143E-2</v>
      </c>
      <c r="F27" s="53">
        <v>0.11152718346776205</v>
      </c>
      <c r="G27" s="54">
        <v>1.0682137152869386</v>
      </c>
      <c r="H27" s="54">
        <v>1.2251855531141391</v>
      </c>
      <c r="I27" s="53">
        <v>9.5158535443250397E-2</v>
      </c>
      <c r="J27" s="53">
        <v>0.43781301036597053</v>
      </c>
      <c r="K27" s="53">
        <v>5.0854999999999997E-2</v>
      </c>
      <c r="L27" s="53">
        <v>0.1638</v>
      </c>
      <c r="M27" s="53">
        <v>8.5817330971523803E-2</v>
      </c>
      <c r="N27" s="54">
        <v>1.2894168928698895</v>
      </c>
      <c r="O27" s="54">
        <v>2.3038717172014334</v>
      </c>
      <c r="P27" s="54">
        <v>10.79885515422891</v>
      </c>
      <c r="Q27" s="54">
        <v>31.741208061314889</v>
      </c>
      <c r="R27" s="54">
        <v>2.7160288491807298</v>
      </c>
      <c r="S27" s="54">
        <v>34.573469860937713</v>
      </c>
      <c r="T27" s="53">
        <v>9.0768336455339341E-2</v>
      </c>
      <c r="U27" s="53">
        <v>2.6957645691001734E-2</v>
      </c>
      <c r="V27" s="53">
        <v>3.3245288819538331E-3</v>
      </c>
      <c r="W27" s="53">
        <v>0.97503980207358554</v>
      </c>
      <c r="X27" s="53">
        <v>1.6746880536467494E-2</v>
      </c>
      <c r="Y27" s="53">
        <v>0.38078808076847676</v>
      </c>
      <c r="Z27" s="53">
        <v>1.0733999999999999</v>
      </c>
    </row>
    <row r="28" spans="1:26">
      <c r="A28" s="3" t="s">
        <v>225</v>
      </c>
      <c r="B28" s="3">
        <v>103</v>
      </c>
      <c r="C28" s="53">
        <v>0.14907829787234042</v>
      </c>
      <c r="D28" s="53">
        <v>9.2191420803998156E-2</v>
      </c>
      <c r="E28" s="53">
        <v>0.13265964322266596</v>
      </c>
      <c r="F28" s="53">
        <v>5.6646535418373008E-2</v>
      </c>
      <c r="G28" s="54">
        <v>1.0694958173505562</v>
      </c>
      <c r="H28" s="54">
        <v>1.2410543592858396</v>
      </c>
      <c r="I28" s="53">
        <v>9.5888500527148618E-2</v>
      </c>
      <c r="J28" s="53">
        <v>0.54423898938240323</v>
      </c>
      <c r="K28" s="53">
        <v>5.3524000000000002E-2</v>
      </c>
      <c r="L28" s="53">
        <v>0.1762</v>
      </c>
      <c r="M28" s="53">
        <v>8.6066369218673763E-2</v>
      </c>
      <c r="N28" s="54">
        <v>1.4659763013390332</v>
      </c>
      <c r="O28" s="54">
        <v>2.9757179784329062</v>
      </c>
      <c r="P28" s="54">
        <v>14.654554784871266</v>
      </c>
      <c r="Q28" s="54">
        <v>28.89201617695047</v>
      </c>
      <c r="R28" s="54">
        <v>2.9236490003601276</v>
      </c>
      <c r="S28" s="54">
        <v>24.688706144324069</v>
      </c>
      <c r="T28" s="53">
        <v>0.28273149237542999</v>
      </c>
      <c r="U28" s="53">
        <v>4.4920461042954572E-2</v>
      </c>
      <c r="V28" s="53">
        <v>9.8179239343670066E-2</v>
      </c>
      <c r="W28" s="53">
        <v>2.1463997544763114</v>
      </c>
      <c r="X28" s="53">
        <v>0.23703235618633814</v>
      </c>
      <c r="Y28" s="53">
        <v>0.17177866341194353</v>
      </c>
      <c r="Z28" s="53">
        <v>0.44319999999999998</v>
      </c>
    </row>
    <row r="29" spans="1:26">
      <c r="A29" s="3" t="s">
        <v>226</v>
      </c>
      <c r="B29" s="3">
        <v>13</v>
      </c>
      <c r="C29" s="53">
        <v>-6.3210000000000002E-2</v>
      </c>
      <c r="D29" s="53">
        <v>-4.2059337894031676E-4</v>
      </c>
      <c r="E29" s="53">
        <v>9.5426355462240233E-3</v>
      </c>
      <c r="F29" s="53">
        <v>7.3079614651029509E-2</v>
      </c>
      <c r="G29" s="54">
        <v>1.1386815237472103</v>
      </c>
      <c r="H29" s="54">
        <v>1.2951787766557901</v>
      </c>
      <c r="I29" s="53">
        <v>9.8378223726166336E-2</v>
      </c>
      <c r="J29" s="53">
        <v>0.39424154982087117</v>
      </c>
      <c r="K29" s="53">
        <v>5.0854999999999997E-2</v>
      </c>
      <c r="L29" s="53">
        <v>0.15490000000000001</v>
      </c>
      <c r="M29" s="53">
        <v>8.904933447437148E-2</v>
      </c>
      <c r="N29" s="54">
        <v>1.6732153737167332</v>
      </c>
      <c r="O29" s="54">
        <v>0.84607344479761215</v>
      </c>
      <c r="P29" s="54">
        <v>19.143941698748328</v>
      </c>
      <c r="Q29" s="54" t="s">
        <v>584</v>
      </c>
      <c r="R29" s="54">
        <v>1.9031490452094928</v>
      </c>
      <c r="S29" s="54">
        <v>38.632883209912393</v>
      </c>
      <c r="T29" s="53">
        <v>0.15533542696520905</v>
      </c>
      <c r="U29" s="53">
        <v>9.7431464416019315E-3</v>
      </c>
      <c r="V29" s="53">
        <v>-2.2079528200980025E-3</v>
      </c>
      <c r="W29" s="53" t="s">
        <v>584</v>
      </c>
      <c r="X29" s="53">
        <v>-6.6268001387247435E-2</v>
      </c>
      <c r="Y29" s="53">
        <v>0</v>
      </c>
      <c r="Z29" s="53">
        <v>0.1802</v>
      </c>
    </row>
    <row r="30" spans="1:26">
      <c r="A30" s="3" t="s">
        <v>227</v>
      </c>
      <c r="B30" s="3">
        <v>129</v>
      </c>
      <c r="C30" s="53">
        <v>0.15823965116279071</v>
      </c>
      <c r="D30" s="53">
        <v>9.5866096633002024E-2</v>
      </c>
      <c r="E30" s="53">
        <v>0.15114383953059968</v>
      </c>
      <c r="F30" s="53">
        <v>8.1745773754216267E-2</v>
      </c>
      <c r="G30" s="54">
        <v>0.82725511310653832</v>
      </c>
      <c r="H30" s="54">
        <v>0.93395459906726541</v>
      </c>
      <c r="I30" s="53">
        <v>8.1761911557094211E-2</v>
      </c>
      <c r="J30" s="53">
        <v>0.42942643620556031</v>
      </c>
      <c r="K30" s="53">
        <v>5.0854999999999997E-2</v>
      </c>
      <c r="L30" s="53">
        <v>0.1467</v>
      </c>
      <c r="M30" s="53">
        <v>7.5361085152728546E-2</v>
      </c>
      <c r="N30" s="54">
        <v>1.6768879249052682</v>
      </c>
      <c r="O30" s="54">
        <v>2.1770119295764263</v>
      </c>
      <c r="P30" s="54">
        <v>13.589599841576854</v>
      </c>
      <c r="Q30" s="54">
        <v>22.109356359942485</v>
      </c>
      <c r="R30" s="54">
        <v>3.2790176756415139</v>
      </c>
      <c r="S30" s="54">
        <v>102.2602762874735</v>
      </c>
      <c r="T30" s="53">
        <v>0.24013986599713918</v>
      </c>
      <c r="U30" s="53">
        <v>4.2450641137758337E-2</v>
      </c>
      <c r="V30" s="53">
        <v>4.116813973531535E-2</v>
      </c>
      <c r="W30" s="53">
        <v>0.70431641073104712</v>
      </c>
      <c r="X30" s="53">
        <v>8.797660106927524E-2</v>
      </c>
      <c r="Y30" s="53">
        <v>0.28526884031561212</v>
      </c>
      <c r="Z30" s="53">
        <v>0.19950000000000001</v>
      </c>
    </row>
    <row r="31" spans="1:26">
      <c r="A31" s="3" t="s">
        <v>228</v>
      </c>
      <c r="B31" s="3">
        <v>77</v>
      </c>
      <c r="C31" s="53">
        <v>6.5536666666666632E-2</v>
      </c>
      <c r="D31" s="53">
        <v>0.10526189348083488</v>
      </c>
      <c r="E31" s="53">
        <v>0.18528356431084828</v>
      </c>
      <c r="F31" s="53">
        <v>0.14687854862427879</v>
      </c>
      <c r="G31" s="54">
        <v>0.8812886579369924</v>
      </c>
      <c r="H31" s="54">
        <v>1.0580761393416174</v>
      </c>
      <c r="I31" s="53">
        <v>8.7471502409714408E-2</v>
      </c>
      <c r="J31" s="53">
        <v>0.36589093646977811</v>
      </c>
      <c r="K31" s="53">
        <v>5.0854999999999997E-2</v>
      </c>
      <c r="L31" s="53">
        <v>0.21099999999999999</v>
      </c>
      <c r="M31" s="53">
        <v>7.7061559464289858E-2</v>
      </c>
      <c r="N31" s="54">
        <v>2.037850068990315</v>
      </c>
      <c r="O31" s="54">
        <v>1.5719288338742232</v>
      </c>
      <c r="P31" s="54">
        <v>11.036891379802853</v>
      </c>
      <c r="Q31" s="54">
        <v>14.820564347673916</v>
      </c>
      <c r="R31" s="54">
        <v>3.7460429418716128</v>
      </c>
      <c r="S31" s="54">
        <v>36.142452668814599</v>
      </c>
      <c r="T31" s="53">
        <v>0.1894488945698595</v>
      </c>
      <c r="U31" s="53">
        <v>0.10319245357384162</v>
      </c>
      <c r="V31" s="53">
        <v>2.8433401793941292E-2</v>
      </c>
      <c r="W31" s="53">
        <v>0.66623551016856597</v>
      </c>
      <c r="X31" s="53">
        <v>0.21241763392703947</v>
      </c>
      <c r="Y31" s="53">
        <v>0.2474936008483172</v>
      </c>
      <c r="Z31" s="53">
        <v>0.45540000000000003</v>
      </c>
    </row>
    <row r="32" spans="1:26">
      <c r="A32" s="3" t="s">
        <v>229</v>
      </c>
      <c r="B32" s="3">
        <v>98</v>
      </c>
      <c r="C32" s="53">
        <v>0.15469137931034482</v>
      </c>
      <c r="D32" s="53">
        <v>6.7303840171110185E-2</v>
      </c>
      <c r="E32" s="53">
        <v>7.5578911739182089E-2</v>
      </c>
      <c r="F32" s="53">
        <v>3.2482833852845901E-2</v>
      </c>
      <c r="G32" s="54">
        <v>0.81816948227606034</v>
      </c>
      <c r="H32" s="54">
        <v>0.99455942915170392</v>
      </c>
      <c r="I32" s="53">
        <v>8.4549733740978378E-2</v>
      </c>
      <c r="J32" s="53">
        <v>0.61185830172417144</v>
      </c>
      <c r="K32" s="53">
        <v>5.3524000000000002E-2</v>
      </c>
      <c r="L32" s="53">
        <v>0.2233</v>
      </c>
      <c r="M32" s="53">
        <v>7.4634882763526755E-2</v>
      </c>
      <c r="N32" s="54">
        <v>1.105934104413193</v>
      </c>
      <c r="O32" s="54">
        <v>3.0674272548861663</v>
      </c>
      <c r="P32" s="54">
        <v>16.372327269203399</v>
      </c>
      <c r="Q32" s="54">
        <v>42.533399418877075</v>
      </c>
      <c r="R32" s="54">
        <v>2.5929691561863222</v>
      </c>
      <c r="S32" s="54">
        <v>31.168325364687774</v>
      </c>
      <c r="T32" s="53">
        <v>3.8054347095575536E-2</v>
      </c>
      <c r="U32" s="53">
        <v>2.8005982797696055E-3</v>
      </c>
      <c r="V32" s="53">
        <v>-2.2575917320574641E-2</v>
      </c>
      <c r="W32" s="53">
        <v>-0.20650613209517016</v>
      </c>
      <c r="X32" s="53">
        <v>-2.7275543810870717E-3</v>
      </c>
      <c r="Y32" s="53">
        <v>3.4346522556140007E-3</v>
      </c>
      <c r="Z32" s="53">
        <v>0.27510000000000001</v>
      </c>
    </row>
    <row r="33" spans="1:26">
      <c r="A33" s="3" t="s">
        <v>230</v>
      </c>
      <c r="B33" s="3">
        <v>57</v>
      </c>
      <c r="C33" s="53">
        <v>0.13381230769230767</v>
      </c>
      <c r="D33" s="53">
        <v>0.13805874648009328</v>
      </c>
      <c r="E33" s="53">
        <v>0.29942483961191058</v>
      </c>
      <c r="F33" s="53">
        <v>5.4191743539848326E-2</v>
      </c>
      <c r="G33" s="54">
        <v>0.7788076092676931</v>
      </c>
      <c r="H33" s="54">
        <v>0.90699903446977015</v>
      </c>
      <c r="I33" s="53">
        <v>8.0521955585609428E-2</v>
      </c>
      <c r="J33" s="53">
        <v>0.4606641855124769</v>
      </c>
      <c r="K33" s="53">
        <v>5.0854999999999997E-2</v>
      </c>
      <c r="L33" s="53">
        <v>0.18</v>
      </c>
      <c r="M33" s="53">
        <v>7.2894741035876967E-2</v>
      </c>
      <c r="N33" s="54">
        <v>2.2902044972728537</v>
      </c>
      <c r="O33" s="54">
        <v>3.3833883540504326</v>
      </c>
      <c r="P33" s="54">
        <v>15.00034560192311</v>
      </c>
      <c r="Q33" s="54">
        <v>24.256339038064446</v>
      </c>
      <c r="R33" s="54">
        <v>6.2476402280431014</v>
      </c>
      <c r="S33" s="54">
        <v>31.275191037772736</v>
      </c>
      <c r="T33" s="53">
        <v>0.10180591590590521</v>
      </c>
      <c r="U33" s="53">
        <v>2.8259328543857452E-2</v>
      </c>
      <c r="V33" s="53">
        <v>6.4845913725881957E-2</v>
      </c>
      <c r="W33" s="53">
        <v>0.70099824399013422</v>
      </c>
      <c r="X33" s="53">
        <v>0.2101163487107984</v>
      </c>
      <c r="Y33" s="53">
        <v>0.3634221878468773</v>
      </c>
      <c r="Z33" s="53">
        <v>0.73899999999999999</v>
      </c>
    </row>
    <row r="34" spans="1:26">
      <c r="A34" s="3" t="s">
        <v>231</v>
      </c>
      <c r="B34" s="3">
        <v>42</v>
      </c>
      <c r="C34" s="53">
        <v>0.21383809523809522</v>
      </c>
      <c r="D34" s="53">
        <v>0.10366481056867373</v>
      </c>
      <c r="E34" s="53">
        <v>0.17930588293067248</v>
      </c>
      <c r="F34" s="53">
        <v>6.683606475914719E-2</v>
      </c>
      <c r="G34" s="54">
        <v>0.74014360993981232</v>
      </c>
      <c r="H34" s="54">
        <v>0.99162450807266023</v>
      </c>
      <c r="I34" s="53">
        <v>8.4414727371342368E-2</v>
      </c>
      <c r="J34" s="53">
        <v>0.54139722238781107</v>
      </c>
      <c r="K34" s="53">
        <v>5.3524000000000002E-2</v>
      </c>
      <c r="L34" s="53">
        <v>0.31180000000000002</v>
      </c>
      <c r="M34" s="53">
        <v>7.0611539867688589E-2</v>
      </c>
      <c r="N34" s="54">
        <v>1.8306605351728302</v>
      </c>
      <c r="O34" s="54">
        <v>1.1055363962241</v>
      </c>
      <c r="P34" s="54">
        <v>8.9728445584552468</v>
      </c>
      <c r="Q34" s="54">
        <v>10.564710180101258</v>
      </c>
      <c r="R34" s="54">
        <v>2.7330367548600969</v>
      </c>
      <c r="S34" s="54">
        <v>21.611875005333811</v>
      </c>
      <c r="T34" s="53">
        <v>0.14722500458801463</v>
      </c>
      <c r="U34" s="53">
        <v>1.3450482592225456E-2</v>
      </c>
      <c r="V34" s="53">
        <v>2.6989790167118995E-2</v>
      </c>
      <c r="W34" s="53">
        <v>0.53012035842397032</v>
      </c>
      <c r="X34" s="53">
        <v>0.27512096983755308</v>
      </c>
      <c r="Y34" s="53">
        <v>0.17330466660689933</v>
      </c>
      <c r="Z34" s="53">
        <v>0.35849999999999999</v>
      </c>
    </row>
    <row r="35" spans="1:26">
      <c r="A35" s="3" t="s">
        <v>232</v>
      </c>
      <c r="B35" s="3">
        <v>192</v>
      </c>
      <c r="C35" s="53">
        <v>0.19123907563025216</v>
      </c>
      <c r="D35" s="53">
        <v>0.15987809600075464</v>
      </c>
      <c r="E35" s="53">
        <v>9.6330086209587031E-3</v>
      </c>
      <c r="F35" s="53">
        <v>0.10395894208880919</v>
      </c>
      <c r="G35" s="54">
        <v>0.3192698773440083</v>
      </c>
      <c r="H35" s="54">
        <v>1.1400490933846248</v>
      </c>
      <c r="I35" s="53">
        <v>9.1242258295692741E-2</v>
      </c>
      <c r="J35" s="53">
        <v>0.3810213497605191</v>
      </c>
      <c r="K35" s="53">
        <v>5.0854999999999997E-2</v>
      </c>
      <c r="L35" s="53">
        <v>0.7742</v>
      </c>
      <c r="M35" s="53">
        <v>5.0134067433140084E-2</v>
      </c>
      <c r="N35" s="54">
        <v>6.7119149808869766E-2</v>
      </c>
      <c r="O35" s="54">
        <v>18.642987157381903</v>
      </c>
      <c r="P35" s="54">
        <v>57.680538877058737</v>
      </c>
      <c r="Q35" s="54">
        <v>77.49458222836256</v>
      </c>
      <c r="R35" s="54">
        <v>3.380815208699703</v>
      </c>
      <c r="S35" s="54">
        <v>25.806044221433432</v>
      </c>
      <c r="T35" s="3">
        <v>12.604428612688091</v>
      </c>
      <c r="U35" s="53">
        <v>0.1319795854325862</v>
      </c>
      <c r="V35" s="53">
        <v>2.7841238176068952E-2</v>
      </c>
      <c r="W35" s="53">
        <v>0.20105976764142242</v>
      </c>
      <c r="X35" s="53">
        <v>0.21311643829434393</v>
      </c>
      <c r="Y35" s="53">
        <v>0.31700384210797466</v>
      </c>
      <c r="Z35" s="53">
        <v>0.13780000000000001</v>
      </c>
    </row>
    <row r="36" spans="1:26">
      <c r="A36" s="3" t="s">
        <v>233</v>
      </c>
      <c r="B36" s="3">
        <v>93</v>
      </c>
      <c r="C36" s="53">
        <v>6.4526666666666663E-2</v>
      </c>
      <c r="D36" s="53">
        <v>0.10663908812693304</v>
      </c>
      <c r="E36" s="53">
        <v>0.16632787981640612</v>
      </c>
      <c r="F36" s="53">
        <v>9.0437974494151835E-2</v>
      </c>
      <c r="G36" s="54">
        <v>0.55451839676684511</v>
      </c>
      <c r="H36" s="54">
        <v>0.70750533667560889</v>
      </c>
      <c r="I36" s="53">
        <v>7.1345245487078018E-2</v>
      </c>
      <c r="J36" s="53">
        <v>0.35521016825252899</v>
      </c>
      <c r="K36" s="53">
        <v>5.0854999999999997E-2</v>
      </c>
      <c r="L36" s="53">
        <v>0.26889999999999997</v>
      </c>
      <c r="M36" s="53">
        <v>6.2415742385434035E-2</v>
      </c>
      <c r="N36" s="54">
        <v>1.7135538990520314</v>
      </c>
      <c r="O36" s="54">
        <v>1.7282134371080651</v>
      </c>
      <c r="P36" s="54">
        <v>11.437949138986205</v>
      </c>
      <c r="Q36" s="54">
        <v>16.118698126776067</v>
      </c>
      <c r="R36" s="54">
        <v>2.3044996770005595</v>
      </c>
      <c r="S36" s="54">
        <v>30.03172173237634</v>
      </c>
      <c r="T36" s="53">
        <v>7.7500137053759716E-2</v>
      </c>
      <c r="U36" s="53">
        <v>2.0938027507652963E-2</v>
      </c>
      <c r="V36" s="53">
        <v>3.3044851127673275E-2</v>
      </c>
      <c r="W36" s="53">
        <v>0.46455600027816707</v>
      </c>
      <c r="X36" s="53">
        <v>8.9774903428867805E-2</v>
      </c>
      <c r="Y36" s="53">
        <v>0.76422137793570577</v>
      </c>
      <c r="Z36" s="53">
        <v>0.4022</v>
      </c>
    </row>
    <row r="37" spans="1:26">
      <c r="A37" s="3" t="s">
        <v>234</v>
      </c>
      <c r="B37" s="3">
        <v>14</v>
      </c>
      <c r="C37" s="53">
        <v>0.18654000000000004</v>
      </c>
      <c r="D37" s="53">
        <v>2.2183644509181345E-2</v>
      </c>
      <c r="E37" s="53">
        <v>0.14961754390226162</v>
      </c>
      <c r="F37" s="53">
        <v>0.15895060357386712</v>
      </c>
      <c r="G37" s="54">
        <v>0.72350874211616811</v>
      </c>
      <c r="H37" s="54">
        <v>0.96571097077283663</v>
      </c>
      <c r="I37" s="53">
        <v>8.3222704655550483E-2</v>
      </c>
      <c r="J37" s="53">
        <v>0.27303412055804871</v>
      </c>
      <c r="K37" s="53">
        <v>5.0854999999999997E-2</v>
      </c>
      <c r="L37" s="53">
        <v>0.30859999999999999</v>
      </c>
      <c r="M37" s="53">
        <v>6.9310422852764508E-2</v>
      </c>
      <c r="N37" s="54">
        <v>8.0191460013825839</v>
      </c>
      <c r="O37" s="54">
        <v>0.40048850227638738</v>
      </c>
      <c r="P37" s="54">
        <v>11.256367425384894</v>
      </c>
      <c r="Q37" s="54">
        <v>18.0515417386402</v>
      </c>
      <c r="R37" s="54">
        <v>4.1027570359655128</v>
      </c>
      <c r="S37" s="54">
        <v>26.104224353465391</v>
      </c>
      <c r="T37" s="53">
        <v>5.7756762830022068E-2</v>
      </c>
      <c r="U37" s="53">
        <v>2.6125454156993962E-2</v>
      </c>
      <c r="V37" s="53">
        <v>8.9900828796691135E-3</v>
      </c>
      <c r="W37" s="53">
        <v>0.47194525861898456</v>
      </c>
      <c r="X37" s="53">
        <v>0.21114375328629606</v>
      </c>
      <c r="Y37" s="53">
        <v>0.38161390503630449</v>
      </c>
      <c r="Z37" s="53">
        <v>0.76160000000000005</v>
      </c>
    </row>
    <row r="38" spans="1:26">
      <c r="A38" s="3" t="s">
        <v>235</v>
      </c>
      <c r="B38" s="3">
        <v>31</v>
      </c>
      <c r="C38" s="53">
        <v>3.1330476190476186E-2</v>
      </c>
      <c r="D38" s="53">
        <v>6.1040183229692929E-2</v>
      </c>
      <c r="E38" s="53">
        <v>0.1031461588962982</v>
      </c>
      <c r="F38" s="53">
        <v>0.13944466543634329</v>
      </c>
      <c r="G38" s="54">
        <v>0.81607686254483458</v>
      </c>
      <c r="H38" s="54">
        <v>1.1071062452097284</v>
      </c>
      <c r="I38" s="53">
        <v>8.9726887279647505E-2</v>
      </c>
      <c r="J38" s="53">
        <v>0.46652480430214993</v>
      </c>
      <c r="K38" s="53">
        <v>5.0854999999999997E-2</v>
      </c>
      <c r="L38" s="53">
        <v>0.32229999999999998</v>
      </c>
      <c r="M38" s="53">
        <v>7.3102868020993375E-2</v>
      </c>
      <c r="N38" s="54">
        <v>1.9608741359470769</v>
      </c>
      <c r="O38" s="54">
        <v>1.0479459257763848</v>
      </c>
      <c r="P38" s="54">
        <v>9.3651533150560073</v>
      </c>
      <c r="Q38" s="54">
        <v>16.699225224322326</v>
      </c>
      <c r="R38" s="54">
        <v>2.2525462393242712</v>
      </c>
      <c r="S38" s="54">
        <v>19.580017118656851</v>
      </c>
      <c r="T38" s="53">
        <v>0.13973769506770378</v>
      </c>
      <c r="U38" s="53">
        <v>1.3722507350154173E-2</v>
      </c>
      <c r="V38" s="53">
        <v>7.2155187930717318E-2</v>
      </c>
      <c r="W38" s="53">
        <v>0.97314551193468091</v>
      </c>
      <c r="X38" s="53">
        <v>-6.5262790801996332E-2</v>
      </c>
      <c r="Y38" s="53">
        <v>8.5617107786026027E-3</v>
      </c>
      <c r="Z38" s="53">
        <v>0.24540000000000001</v>
      </c>
    </row>
    <row r="39" spans="1:26">
      <c r="A39" s="3" t="s">
        <v>236</v>
      </c>
      <c r="B39" s="3">
        <v>17</v>
      </c>
      <c r="C39" s="53">
        <v>3.7350000000000001E-2</v>
      </c>
      <c r="D39" s="53">
        <v>0.21762599360412235</v>
      </c>
      <c r="E39" s="53">
        <v>4.1502730750869E-2</v>
      </c>
      <c r="F39" s="53">
        <v>4.3866635152303012E-2</v>
      </c>
      <c r="G39" s="54">
        <v>0.53709405674636823</v>
      </c>
      <c r="H39" s="54">
        <v>1.1067077196296322</v>
      </c>
      <c r="I39" s="53">
        <v>8.9708555102963078E-2</v>
      </c>
      <c r="J39" s="53">
        <v>0.5733620520250774</v>
      </c>
      <c r="K39" s="53">
        <v>5.3524000000000002E-2</v>
      </c>
      <c r="L39" s="53">
        <v>0.58579999999999999</v>
      </c>
      <c r="M39" s="53">
        <v>6.0675004825720386E-2</v>
      </c>
      <c r="N39" s="54">
        <v>0.19933188854202233</v>
      </c>
      <c r="O39" s="54">
        <v>7.4719645715662937</v>
      </c>
      <c r="P39" s="54">
        <v>12.631994561427968</v>
      </c>
      <c r="Q39" s="54">
        <v>33.578774668897871</v>
      </c>
      <c r="R39" s="54">
        <v>0.85442228941416143</v>
      </c>
      <c r="S39" s="54">
        <v>39.872418108542938</v>
      </c>
      <c r="T39" s="53">
        <v>-0.27981625458988918</v>
      </c>
      <c r="U39" s="53">
        <v>0.25819803394004409</v>
      </c>
      <c r="V39" s="53">
        <v>0.20460875674779533</v>
      </c>
      <c r="W39" s="53">
        <v>1.1590198207962661</v>
      </c>
      <c r="X39" s="53">
        <v>0.10675101428653834</v>
      </c>
      <c r="Y39" s="53">
        <v>0.2559530242443892</v>
      </c>
      <c r="Z39" s="53">
        <v>2.1600000000000001E-2</v>
      </c>
    </row>
    <row r="40" spans="1:26">
      <c r="A40" s="3" t="s">
        <v>237</v>
      </c>
      <c r="B40" s="3">
        <v>230</v>
      </c>
      <c r="C40" s="53">
        <v>0.17948400000000009</v>
      </c>
      <c r="D40" s="53">
        <v>0.13397753860033068</v>
      </c>
      <c r="E40" s="53">
        <v>0.13081181602888342</v>
      </c>
      <c r="F40" s="53">
        <v>4.8144130281923228E-2</v>
      </c>
      <c r="G40" s="54">
        <v>0.96996021209180838</v>
      </c>
      <c r="H40" s="54">
        <v>1.0620798954428441</v>
      </c>
      <c r="I40" s="53">
        <v>8.7655675190370819E-2</v>
      </c>
      <c r="J40" s="53">
        <v>0.52205534504314732</v>
      </c>
      <c r="K40" s="53">
        <v>5.3524000000000002E-2</v>
      </c>
      <c r="L40" s="53">
        <v>0.1124</v>
      </c>
      <c r="M40" s="53">
        <v>8.2315378901711811E-2</v>
      </c>
      <c r="N40" s="54">
        <v>0.9916960692418304</v>
      </c>
      <c r="O40" s="54">
        <v>5.1610656647278397</v>
      </c>
      <c r="P40" s="54">
        <v>21.511372797591477</v>
      </c>
      <c r="Q40" s="54">
        <v>36.992220884124826</v>
      </c>
      <c r="R40" s="54">
        <v>4.6291469613257821</v>
      </c>
      <c r="S40" s="54">
        <v>61.891562138745677</v>
      </c>
      <c r="T40" s="53">
        <v>0.25574201971953897</v>
      </c>
      <c r="U40" s="53">
        <v>0.11832959057934007</v>
      </c>
      <c r="V40" s="53">
        <v>2.0771729298397056E-2</v>
      </c>
      <c r="W40" s="53">
        <v>0.49512455251752285</v>
      </c>
      <c r="X40" s="53">
        <v>8.305797928561881E-2</v>
      </c>
      <c r="Y40" s="53">
        <v>0.41765478553209229</v>
      </c>
      <c r="Z40" s="53">
        <v>0.42159999999999997</v>
      </c>
    </row>
    <row r="41" spans="1:26">
      <c r="A41" s="3" t="s">
        <v>238</v>
      </c>
      <c r="B41" s="3">
        <v>119</v>
      </c>
      <c r="C41" s="53">
        <v>0.12421877192982453</v>
      </c>
      <c r="D41" s="53">
        <v>3.8650719005027985E-2</v>
      </c>
      <c r="E41" s="53">
        <v>0.45741028306204884</v>
      </c>
      <c r="F41" s="53">
        <v>8.0842790360317815E-2</v>
      </c>
      <c r="G41" s="54">
        <v>0.85946082828042358</v>
      </c>
      <c r="H41" s="54">
        <v>1.0326229061406076</v>
      </c>
      <c r="I41" s="53">
        <v>8.6300653682467948E-2</v>
      </c>
      <c r="J41" s="53">
        <v>0.49525733448964099</v>
      </c>
      <c r="K41" s="53">
        <v>5.0854999999999997E-2</v>
      </c>
      <c r="L41" s="53">
        <v>0.21179999999999999</v>
      </c>
      <c r="M41" s="53">
        <v>7.6102788936416088E-2</v>
      </c>
      <c r="N41" s="54">
        <v>12.880997802478152</v>
      </c>
      <c r="O41" s="54">
        <v>0.6094709713815003</v>
      </c>
      <c r="P41" s="54">
        <v>11.292454334901061</v>
      </c>
      <c r="Q41" s="54">
        <v>15.455594645482641</v>
      </c>
      <c r="R41" s="54">
        <v>3.3377128034800818</v>
      </c>
      <c r="S41" s="54">
        <v>80.168287304864251</v>
      </c>
      <c r="T41" s="53">
        <v>-6.5254137415651933E-2</v>
      </c>
      <c r="U41" s="53">
        <v>6.8462345197443271E-3</v>
      </c>
      <c r="V41" s="53">
        <v>1.9151402871181444E-2</v>
      </c>
      <c r="W41" s="53">
        <v>0.6275372045055494</v>
      </c>
      <c r="X41" s="53">
        <v>0.15620310034184115</v>
      </c>
      <c r="Y41" s="53">
        <v>0.29625921121923621</v>
      </c>
      <c r="Z41" s="53">
        <v>0.17960000000000001</v>
      </c>
    </row>
    <row r="42" spans="1:26">
      <c r="A42" s="3" t="s">
        <v>239</v>
      </c>
      <c r="B42" s="3">
        <v>128</v>
      </c>
      <c r="C42" s="53">
        <v>0.19666706896551731</v>
      </c>
      <c r="D42" s="53">
        <v>0.14036730299835781</v>
      </c>
      <c r="E42" s="53">
        <v>0.14281217248637942</v>
      </c>
      <c r="F42" s="53">
        <v>3.1110902999087604E-2</v>
      </c>
      <c r="G42" s="54">
        <v>1.1376407770890611</v>
      </c>
      <c r="H42" s="54">
        <v>1.2747542568245518</v>
      </c>
      <c r="I42" s="53">
        <v>9.7438695813929388E-2</v>
      </c>
      <c r="J42" s="53">
        <v>0.54153165246921775</v>
      </c>
      <c r="K42" s="53">
        <v>5.3524000000000002E-2</v>
      </c>
      <c r="L42" s="53">
        <v>0.13850000000000001</v>
      </c>
      <c r="M42" s="53">
        <v>8.9506086810682825E-2</v>
      </c>
      <c r="N42" s="54">
        <v>1.0414718449585996</v>
      </c>
      <c r="O42" s="54">
        <v>5.2888957340712599</v>
      </c>
      <c r="P42" s="54">
        <v>21.435576546426841</v>
      </c>
      <c r="Q42" s="54">
        <v>36.529531221176818</v>
      </c>
      <c r="R42" s="54">
        <v>4.0887278277055206</v>
      </c>
      <c r="S42" s="54">
        <v>44.436443878627578</v>
      </c>
      <c r="T42" s="53">
        <v>0.22945875273735597</v>
      </c>
      <c r="U42" s="53">
        <v>7.2469223761760222E-4</v>
      </c>
      <c r="V42" s="53">
        <v>2.6677271844225636E-2</v>
      </c>
      <c r="W42" s="53">
        <v>0.31339455513224623</v>
      </c>
      <c r="X42" s="53">
        <v>5.17765805634577E-2</v>
      </c>
      <c r="Y42" s="53">
        <v>0.19727330771004128</v>
      </c>
      <c r="Z42" s="53">
        <v>9.4399999999999998E-2</v>
      </c>
    </row>
    <row r="43" spans="1:26">
      <c r="A43" s="3" t="s">
        <v>240</v>
      </c>
      <c r="B43" s="3">
        <v>32</v>
      </c>
      <c r="C43" s="53">
        <v>0.11040782608695648</v>
      </c>
      <c r="D43" s="53">
        <v>0.16303748138534604</v>
      </c>
      <c r="E43" s="53">
        <v>0.20906182388989658</v>
      </c>
      <c r="F43" s="53">
        <v>0.17220642195530883</v>
      </c>
      <c r="G43" s="54">
        <v>1.2193701044888992</v>
      </c>
      <c r="H43" s="54">
        <v>1.3695349346617718</v>
      </c>
      <c r="I43" s="53">
        <v>0.1017986069944415</v>
      </c>
      <c r="J43" s="53">
        <v>0.32313883781178943</v>
      </c>
      <c r="K43" s="53">
        <v>5.0854999999999997E-2</v>
      </c>
      <c r="L43" s="53">
        <v>0.14099999999999999</v>
      </c>
      <c r="M43" s="53">
        <v>9.2820336720647989E-2</v>
      </c>
      <c r="N43" s="54">
        <v>1.5490492448976174</v>
      </c>
      <c r="O43" s="54">
        <v>1.3227511565241321</v>
      </c>
      <c r="P43" s="54">
        <v>7.7926513257951306</v>
      </c>
      <c r="Q43" s="54">
        <v>8.1068864527413051</v>
      </c>
      <c r="R43" s="54">
        <v>2.0034988997912557</v>
      </c>
      <c r="S43" s="54">
        <v>10.663226208304753</v>
      </c>
      <c r="T43" s="53">
        <v>0.58510809678996634</v>
      </c>
      <c r="U43" s="53">
        <v>6.3110106495485605E-3</v>
      </c>
      <c r="V43" s="53">
        <v>3.6279568408271621E-3</v>
      </c>
      <c r="W43" s="53">
        <v>-4.9962200704110622E-2</v>
      </c>
      <c r="X43" s="53">
        <v>0.2288315257494398</v>
      </c>
      <c r="Y43" s="53">
        <v>6.4331005164984509E-2</v>
      </c>
      <c r="Z43" s="53">
        <v>5.6300000000000003E-2</v>
      </c>
    </row>
    <row r="44" spans="1:26">
      <c r="A44" s="3" t="s">
        <v>241</v>
      </c>
      <c r="B44" s="3">
        <v>32</v>
      </c>
      <c r="C44" s="53">
        <v>0.18106894736842105</v>
      </c>
      <c r="D44" s="53">
        <v>0.11548106893287978</v>
      </c>
      <c r="E44" s="53">
        <v>0.20156640226109454</v>
      </c>
      <c r="F44" s="53">
        <v>6.8565768017194773E-2</v>
      </c>
      <c r="G44" s="54">
        <v>0.5503980343737368</v>
      </c>
      <c r="H44" s="54">
        <v>0.87957632490356097</v>
      </c>
      <c r="I44" s="53">
        <v>7.92605109455638E-2</v>
      </c>
      <c r="J44" s="53">
        <v>0.46328064944317854</v>
      </c>
      <c r="K44" s="53">
        <v>5.0854999999999997E-2</v>
      </c>
      <c r="L44" s="53">
        <v>0.44369999999999998</v>
      </c>
      <c r="M44" s="53">
        <v>6.1017935533001388E-2</v>
      </c>
      <c r="N44" s="54">
        <v>1.8739472690562888</v>
      </c>
      <c r="O44" s="54">
        <v>1.5597693131250068</v>
      </c>
      <c r="P44" s="54">
        <v>8.7526157560373488</v>
      </c>
      <c r="Q44" s="54">
        <v>13.412731417361721</v>
      </c>
      <c r="R44" s="54">
        <v>5.1168203803504957</v>
      </c>
      <c r="S44" s="54">
        <v>22.866077429053238</v>
      </c>
      <c r="T44" s="53">
        <v>0.11173413334158254</v>
      </c>
      <c r="U44" s="53">
        <v>1.3927684229044475E-2</v>
      </c>
      <c r="V44" s="53">
        <v>2.2041129079390705E-2</v>
      </c>
      <c r="W44" s="53">
        <v>0.34919798188250589</v>
      </c>
      <c r="X44" s="53">
        <v>0.61965679511239247</v>
      </c>
      <c r="Y44" s="53">
        <v>0.12781126030710444</v>
      </c>
      <c r="Z44" s="53">
        <v>1.1047</v>
      </c>
    </row>
    <row r="45" spans="1:26">
      <c r="A45" s="3" t="s">
        <v>242</v>
      </c>
      <c r="B45" s="3">
        <v>68</v>
      </c>
      <c r="C45" s="53">
        <v>0.10244649999999998</v>
      </c>
      <c r="D45" s="53">
        <v>0.13385572291330425</v>
      </c>
      <c r="E45" s="53">
        <v>9.9886217562338883E-2</v>
      </c>
      <c r="F45" s="53">
        <v>8.6279900545970845E-2</v>
      </c>
      <c r="G45" s="54">
        <v>0.98418091417736064</v>
      </c>
      <c r="H45" s="54">
        <v>1.3434280675321946</v>
      </c>
      <c r="I45" s="53">
        <v>0.10059769110648095</v>
      </c>
      <c r="J45" s="53">
        <v>0.40799721064073169</v>
      </c>
      <c r="K45" s="53">
        <v>5.0854999999999997E-2</v>
      </c>
      <c r="L45" s="53">
        <v>0.32740000000000002</v>
      </c>
      <c r="M45" s="53">
        <v>8.0151500516447982E-2</v>
      </c>
      <c r="N45" s="54">
        <v>0.80682265774953521</v>
      </c>
      <c r="O45" s="54">
        <v>4.2252788004104538</v>
      </c>
      <c r="P45" s="54">
        <v>14.975440441167427</v>
      </c>
      <c r="Q45" s="54">
        <v>30.72977186409063</v>
      </c>
      <c r="R45" s="54">
        <v>11.056315096413167</v>
      </c>
      <c r="S45" s="54">
        <v>32.221437920653571</v>
      </c>
      <c r="T45" s="53">
        <v>2.9915132671853681E-2</v>
      </c>
      <c r="U45" s="53">
        <v>0.12996342799426844</v>
      </c>
      <c r="V45" s="53">
        <v>1.1171667233667715E-2</v>
      </c>
      <c r="W45" s="53">
        <v>0.21810072641597461</v>
      </c>
      <c r="X45" s="53">
        <v>0.35869098916068981</v>
      </c>
      <c r="Y45" s="53">
        <v>8.4312715869453519E-2</v>
      </c>
      <c r="Z45" s="53">
        <v>0.42880000000000001</v>
      </c>
    </row>
    <row r="46" spans="1:26">
      <c r="A46" s="3" t="s">
        <v>243</v>
      </c>
      <c r="B46" s="3">
        <v>19</v>
      </c>
      <c r="C46" s="53">
        <v>1.2966000000000004E-2</v>
      </c>
      <c r="D46" s="53">
        <v>0.18888157002077771</v>
      </c>
      <c r="E46" s="53">
        <v>0.34643044644482202</v>
      </c>
      <c r="F46" s="53">
        <v>0.12096455795583913</v>
      </c>
      <c r="G46" s="54">
        <v>0.7021397941427695</v>
      </c>
      <c r="H46" s="54">
        <v>0.78003056940732951</v>
      </c>
      <c r="I46" s="53">
        <v>7.4681406192737165E-2</v>
      </c>
      <c r="J46" s="53">
        <v>0.30174609465978208</v>
      </c>
      <c r="K46" s="53">
        <v>5.0854999999999997E-2</v>
      </c>
      <c r="L46" s="53">
        <v>0.12889999999999999</v>
      </c>
      <c r="M46" s="53">
        <v>6.9973115518875056E-2</v>
      </c>
      <c r="N46" s="54">
        <v>2.0853364698894605</v>
      </c>
      <c r="O46" s="54">
        <v>3.5947530981601123</v>
      </c>
      <c r="P46" s="54">
        <v>15.882966794732814</v>
      </c>
      <c r="Q46" s="54">
        <v>19.029316891424514</v>
      </c>
      <c r="R46" s="54">
        <v>8.1778697175979076</v>
      </c>
      <c r="S46" s="54">
        <v>42.516743245220731</v>
      </c>
      <c r="T46" s="53">
        <v>5.1144494166001073E-2</v>
      </c>
      <c r="U46" s="53">
        <v>1.2704344447733367E-2</v>
      </c>
      <c r="V46" s="53">
        <v>1.1090429343845635E-2</v>
      </c>
      <c r="W46" s="53">
        <v>2.0432115095575496E-2</v>
      </c>
      <c r="X46" s="53">
        <v>0.3641117785082732</v>
      </c>
      <c r="Y46" s="53">
        <v>0.66555865382705948</v>
      </c>
      <c r="Z46" s="53">
        <v>0.91910000000000003</v>
      </c>
    </row>
    <row r="47" spans="1:26">
      <c r="A47" s="3" t="s">
        <v>244</v>
      </c>
      <c r="B47" s="3">
        <v>18</v>
      </c>
      <c r="C47" s="53">
        <v>4.7169999999999997E-2</v>
      </c>
      <c r="D47" s="53">
        <v>0.12237990878882006</v>
      </c>
      <c r="E47" s="53">
        <v>0.22740740434639165</v>
      </c>
      <c r="F47" s="53">
        <v>0.15792605530081147</v>
      </c>
      <c r="G47" s="54">
        <v>0.73431507001769347</v>
      </c>
      <c r="H47" s="54">
        <v>0.93074336988492989</v>
      </c>
      <c r="I47" s="53">
        <v>8.1614195014706778E-2</v>
      </c>
      <c r="J47" s="53">
        <v>0.33828737962659511</v>
      </c>
      <c r="K47" s="53">
        <v>5.0854999999999997E-2</v>
      </c>
      <c r="L47" s="53">
        <v>0.26290000000000002</v>
      </c>
      <c r="M47" s="53">
        <v>7.0185231902356454E-2</v>
      </c>
      <c r="N47" s="54">
        <v>2.1851130805639345</v>
      </c>
      <c r="O47" s="54">
        <v>2.3329330913412769</v>
      </c>
      <c r="P47" s="54">
        <v>12.153718575448424</v>
      </c>
      <c r="Q47" s="54">
        <v>19.061250080564882</v>
      </c>
      <c r="R47" s="54">
        <v>4.0576322144266381</v>
      </c>
      <c r="S47" s="54">
        <v>24.757228147387533</v>
      </c>
      <c r="T47" s="53">
        <v>0.15732336315134232</v>
      </c>
      <c r="U47" s="53">
        <v>-1.4683566513378913E-3</v>
      </c>
      <c r="V47" s="53">
        <v>-3.6251195768292693E-2</v>
      </c>
      <c r="W47" s="53">
        <v>-0.26314035240567679</v>
      </c>
      <c r="X47" s="53">
        <v>8.4289167807033175E-2</v>
      </c>
      <c r="Y47" s="53">
        <v>0.60703971407145041</v>
      </c>
      <c r="Z47" s="53">
        <v>0.23810000000000001</v>
      </c>
    </row>
    <row r="48" spans="1:26">
      <c r="A48" s="3" t="s">
        <v>245</v>
      </c>
      <c r="B48" s="3">
        <v>21</v>
      </c>
      <c r="C48" s="53">
        <v>7.7637272727272721E-2</v>
      </c>
      <c r="D48" s="53">
        <v>0.15268426099462126</v>
      </c>
      <c r="E48" s="53">
        <v>0.15653546538570912</v>
      </c>
      <c r="F48" s="53">
        <v>0.13691324211870914</v>
      </c>
      <c r="G48" s="54">
        <v>0.86492552669642064</v>
      </c>
      <c r="H48" s="54">
        <v>1.0331486323510635</v>
      </c>
      <c r="I48" s="53">
        <v>8.632483708814892E-2</v>
      </c>
      <c r="J48" s="53">
        <v>0.40381703602170393</v>
      </c>
      <c r="K48" s="53">
        <v>5.0854999999999997E-2</v>
      </c>
      <c r="L48" s="53">
        <v>0.2059</v>
      </c>
      <c r="M48" s="53">
        <v>7.6402666078989212E-2</v>
      </c>
      <c r="N48" s="54">
        <v>1.187979918303592</v>
      </c>
      <c r="O48" s="54">
        <v>2.6563933238175803</v>
      </c>
      <c r="P48" s="54">
        <v>11.479314259662191</v>
      </c>
      <c r="Q48" s="54">
        <v>17.340883842855348</v>
      </c>
      <c r="R48" s="54">
        <v>2.855054505130747</v>
      </c>
      <c r="S48" s="54">
        <v>92.17728773965159</v>
      </c>
      <c r="T48" s="53">
        <v>-9.3256253318981707E-5</v>
      </c>
      <c r="U48" s="53">
        <v>-3.1650180745330693E-2</v>
      </c>
      <c r="V48" s="53">
        <v>-2.5998498392279908E-2</v>
      </c>
      <c r="W48" s="53">
        <v>0.3789687523388437</v>
      </c>
      <c r="X48" s="53">
        <v>0.13524697097521135</v>
      </c>
      <c r="Y48" s="53">
        <v>0.32753059692538994</v>
      </c>
      <c r="Z48" s="53">
        <v>0.27929999999999999</v>
      </c>
    </row>
    <row r="49" spans="1:26">
      <c r="A49" s="3" t="s">
        <v>246</v>
      </c>
      <c r="B49" s="3">
        <v>23</v>
      </c>
      <c r="C49" s="53">
        <v>-6.2500000000000121E-4</v>
      </c>
      <c r="D49" s="53">
        <v>1.2852923105425914E-3</v>
      </c>
      <c r="E49" s="53">
        <v>1.0816809572142688E-3</v>
      </c>
      <c r="F49" s="53">
        <v>0.10180425412245848</v>
      </c>
      <c r="G49" s="54">
        <v>0.45261830575801743</v>
      </c>
      <c r="H49" s="54">
        <v>0.76576086532748944</v>
      </c>
      <c r="I49" s="53">
        <v>7.4024999805064523E-2</v>
      </c>
      <c r="J49" s="53">
        <v>0.30849684925039994</v>
      </c>
      <c r="K49" s="53">
        <v>5.0854999999999997E-2</v>
      </c>
      <c r="L49" s="53">
        <v>0.4798</v>
      </c>
      <c r="M49" s="53">
        <v>5.68067635541461E-2</v>
      </c>
      <c r="N49" s="54">
        <v>0.93697128407023411</v>
      </c>
      <c r="O49" s="54">
        <v>1.5653336469693586</v>
      </c>
      <c r="P49" s="54">
        <v>17.24492070332478</v>
      </c>
      <c r="Q49" s="54" t="s">
        <v>584</v>
      </c>
      <c r="R49" s="54">
        <v>1.6173451473258358</v>
      </c>
      <c r="S49" s="54">
        <v>176.37863200216751</v>
      </c>
      <c r="T49" s="53">
        <v>0.28615881247116098</v>
      </c>
      <c r="U49" s="53">
        <v>-3.8606362671102083E-3</v>
      </c>
      <c r="V49" s="53">
        <v>-2.5614435950617652E-2</v>
      </c>
      <c r="W49" s="53" t="s">
        <v>584</v>
      </c>
      <c r="X49" s="53">
        <v>1.3240127450855269E-2</v>
      </c>
      <c r="Y49" s="53">
        <v>3.812072472103254</v>
      </c>
      <c r="Z49" s="53">
        <v>0.27260000000000001</v>
      </c>
    </row>
    <row r="50" spans="1:26">
      <c r="A50" s="3" t="s">
        <v>247</v>
      </c>
      <c r="B50" s="3">
        <v>50</v>
      </c>
      <c r="C50" s="53">
        <v>6.1676590909090896E-2</v>
      </c>
      <c r="D50" s="53">
        <v>7.4917280524282939E-2</v>
      </c>
      <c r="E50" s="53">
        <v>0.11118635097908262</v>
      </c>
      <c r="F50" s="53">
        <v>0.12420210692099873</v>
      </c>
      <c r="G50" s="54">
        <v>0.6449968390155858</v>
      </c>
      <c r="H50" s="54">
        <v>0.73875776033737084</v>
      </c>
      <c r="I50" s="53">
        <v>7.2782856975519061E-2</v>
      </c>
      <c r="J50" s="53">
        <v>0.27404177841998512</v>
      </c>
      <c r="K50" s="53">
        <v>5.0854999999999997E-2</v>
      </c>
      <c r="L50" s="53">
        <v>0.16239999999999999</v>
      </c>
      <c r="M50" s="53">
        <v>6.715864763210716E-2</v>
      </c>
      <c r="N50" s="54">
        <v>1.6945936593477595</v>
      </c>
      <c r="O50" s="54">
        <v>1.3577625752259637</v>
      </c>
      <c r="P50" s="54">
        <v>11.773604889791214</v>
      </c>
      <c r="Q50" s="54">
        <v>15.658885816047809</v>
      </c>
      <c r="R50" s="54">
        <v>2.2989008715036703</v>
      </c>
      <c r="S50" s="54">
        <v>20.722521356503638</v>
      </c>
      <c r="T50" s="53">
        <v>-0.40937489754024503</v>
      </c>
      <c r="U50" s="53">
        <v>3.6507669157428164E-3</v>
      </c>
      <c r="V50" s="53">
        <v>-1.3016926116446899E-3</v>
      </c>
      <c r="W50" s="53">
        <v>0.28662293809310668</v>
      </c>
      <c r="X50" s="53">
        <v>0.10356883343367865</v>
      </c>
      <c r="Y50" s="53">
        <v>0.35133432350759741</v>
      </c>
      <c r="Z50" s="53">
        <v>0.24360000000000001</v>
      </c>
    </row>
    <row r="51" spans="1:26">
      <c r="A51" s="3" t="s">
        <v>248</v>
      </c>
      <c r="B51" s="3">
        <v>334</v>
      </c>
      <c r="C51" s="53">
        <v>4.6036862745098023E-2</v>
      </c>
      <c r="D51" s="53">
        <v>0.14702327253960745</v>
      </c>
      <c r="E51" s="53">
        <v>6.1639717527291187E-2</v>
      </c>
      <c r="F51" s="53">
        <v>0.11332978400021217</v>
      </c>
      <c r="G51" s="54">
        <v>0.35086203056282117</v>
      </c>
      <c r="H51" s="54">
        <v>0.45700546948270204</v>
      </c>
      <c r="I51" s="53">
        <v>5.9822251596204294E-2</v>
      </c>
      <c r="J51" s="53">
        <v>0.15150889761067693</v>
      </c>
      <c r="K51" s="53">
        <v>4.5043E-2</v>
      </c>
      <c r="L51" s="53">
        <v>0.28739999999999999</v>
      </c>
      <c r="M51" s="53">
        <v>5.2337684983253974E-2</v>
      </c>
      <c r="N51" s="54">
        <v>0.47398717524974837</v>
      </c>
      <c r="O51" s="54">
        <v>5.415454683531844</v>
      </c>
      <c r="P51" s="54">
        <v>34.845251313805413</v>
      </c>
      <c r="Q51" s="54">
        <v>34.896040662166058</v>
      </c>
      <c r="R51" s="54">
        <v>2.0039088032674184</v>
      </c>
      <c r="S51" s="54">
        <v>69.378833078564355</v>
      </c>
      <c r="T51" s="3" t="s">
        <v>584</v>
      </c>
      <c r="U51" s="53">
        <v>5.3070408422195771E-2</v>
      </c>
      <c r="V51" s="53">
        <v>6.1361471889236401E-2</v>
      </c>
      <c r="W51" s="53">
        <v>0.54669683230965871</v>
      </c>
      <c r="X51" s="53">
        <v>0.13783634813168708</v>
      </c>
      <c r="Y51" s="53">
        <v>0.42105650684678592</v>
      </c>
      <c r="Z51" s="53">
        <v>0.63039999999999996</v>
      </c>
    </row>
    <row r="52" spans="1:26">
      <c r="A52" s="3" t="s">
        <v>249</v>
      </c>
      <c r="B52" s="3">
        <v>103</v>
      </c>
      <c r="C52" s="53">
        <v>4.712599999999998E-2</v>
      </c>
      <c r="D52" s="53">
        <v>0.14945637511838269</v>
      </c>
      <c r="E52" s="53">
        <v>0.24909385325604075</v>
      </c>
      <c r="F52" s="53">
        <v>0.11725297212399345</v>
      </c>
      <c r="G52" s="54">
        <v>0.91084743835465243</v>
      </c>
      <c r="H52" s="54">
        <v>1.0260564286029479</v>
      </c>
      <c r="I52" s="53">
        <v>8.5998595715735593E-2</v>
      </c>
      <c r="J52" s="53">
        <v>0.33444214078623241</v>
      </c>
      <c r="K52" s="53">
        <v>5.0854999999999997E-2</v>
      </c>
      <c r="L52" s="53">
        <v>0.14430000000000001</v>
      </c>
      <c r="M52" s="53">
        <v>7.9092309019652585E-2</v>
      </c>
      <c r="N52" s="54">
        <v>1.8716132403381998</v>
      </c>
      <c r="O52" s="54">
        <v>3.0699195050801884</v>
      </c>
      <c r="P52" s="54">
        <v>15.461408447841649</v>
      </c>
      <c r="Q52" s="54">
        <v>20.31238382156512</v>
      </c>
      <c r="R52" s="54">
        <v>4.3438247500417724</v>
      </c>
      <c r="S52" s="54">
        <v>26.951754964203868</v>
      </c>
      <c r="T52" s="53">
        <v>0.25173396431408457</v>
      </c>
      <c r="U52" s="53">
        <v>3.9940132462024158E-2</v>
      </c>
      <c r="V52" s="53">
        <v>6.4279580722076277E-2</v>
      </c>
      <c r="W52" s="53">
        <v>0.66768064881451694</v>
      </c>
      <c r="X52" s="53">
        <v>0.19022656097823037</v>
      </c>
      <c r="Y52" s="53">
        <v>0.3626998107382271</v>
      </c>
      <c r="Z52" s="53">
        <v>0.37580000000000002</v>
      </c>
    </row>
    <row r="53" spans="1:26">
      <c r="A53" s="3" t="s">
        <v>250</v>
      </c>
      <c r="B53" s="3">
        <v>68</v>
      </c>
      <c r="C53" s="53">
        <v>-1.3133333333333325E-2</v>
      </c>
      <c r="D53" s="53">
        <v>0.19550192880447212</v>
      </c>
      <c r="E53" s="53">
        <v>0.2402669710602103</v>
      </c>
      <c r="F53" s="53">
        <v>1.9958935953063753E-2</v>
      </c>
      <c r="G53" s="54">
        <v>0.86039105164646867</v>
      </c>
      <c r="H53" s="54">
        <v>0.96247840953991504</v>
      </c>
      <c r="I53" s="53">
        <v>8.307400683883609E-2</v>
      </c>
      <c r="J53" s="53">
        <v>0.605593652790272</v>
      </c>
      <c r="K53" s="53">
        <v>5.3524000000000002E-2</v>
      </c>
      <c r="L53" s="53">
        <v>0.1366</v>
      </c>
      <c r="M53" s="53">
        <v>7.7209909233881727E-2</v>
      </c>
      <c r="N53" s="54">
        <v>1.2535014116480827</v>
      </c>
      <c r="O53" s="54">
        <v>2.937914549631262</v>
      </c>
      <c r="P53" s="54">
        <v>10.355846578641355</v>
      </c>
      <c r="Q53" s="54">
        <v>14.873774197012049</v>
      </c>
      <c r="R53" s="54">
        <v>3.2224919928098128</v>
      </c>
      <c r="S53" s="54">
        <v>33.132597557421676</v>
      </c>
      <c r="T53" s="53">
        <v>0.1532155838029568</v>
      </c>
      <c r="U53" s="53">
        <v>1.0325301873605076E-2</v>
      </c>
      <c r="V53" s="53">
        <v>5.9114049217197283E-2</v>
      </c>
      <c r="W53" s="53">
        <v>0.63149629307441901</v>
      </c>
      <c r="X53" s="53">
        <v>0.12165895420384185</v>
      </c>
      <c r="Y53" s="53">
        <v>0.95470595148672233</v>
      </c>
      <c r="Z53" s="53">
        <v>2.0999999999999999E-3</v>
      </c>
    </row>
    <row r="54" spans="1:26">
      <c r="A54" s="3" t="s">
        <v>251</v>
      </c>
      <c r="B54" s="3">
        <v>17</v>
      </c>
      <c r="C54" s="53">
        <v>0.15850384615384616</v>
      </c>
      <c r="D54" s="53">
        <v>7.4966273687470428E-2</v>
      </c>
      <c r="E54" s="53">
        <v>0.12926389341779917</v>
      </c>
      <c r="F54" s="53">
        <v>0.17122271667535216</v>
      </c>
      <c r="G54" s="54">
        <v>0.81720681081834057</v>
      </c>
      <c r="H54" s="54">
        <v>1.1394185236914496</v>
      </c>
      <c r="I54" s="53">
        <v>9.1213252089806685E-2</v>
      </c>
      <c r="J54" s="53">
        <v>0.30280062793938978</v>
      </c>
      <c r="K54" s="53">
        <v>5.0854999999999997E-2</v>
      </c>
      <c r="L54" s="53">
        <v>0.34460000000000002</v>
      </c>
      <c r="M54" s="53">
        <v>7.2926316901414823E-2</v>
      </c>
      <c r="N54" s="54">
        <v>2.0704085648273138</v>
      </c>
      <c r="O54" s="54">
        <v>1.1711022809028628</v>
      </c>
      <c r="P54" s="54">
        <v>9.3426486012209295</v>
      </c>
      <c r="Q54" s="54">
        <v>15.610563143808655</v>
      </c>
      <c r="R54" s="54">
        <v>2.5364199127790323</v>
      </c>
      <c r="S54" s="54">
        <v>249.15655023807091</v>
      </c>
      <c r="T54" s="53">
        <v>9.126079195854167E-2</v>
      </c>
      <c r="U54" s="53">
        <v>3.6925574384203833E-3</v>
      </c>
      <c r="V54" s="53">
        <v>1.9833530163557829E-2</v>
      </c>
      <c r="W54" s="53">
        <v>0.16580160140452149</v>
      </c>
      <c r="X54" s="53">
        <v>2.6638000470444002E-2</v>
      </c>
      <c r="Y54" s="53">
        <v>2.2516908050975011</v>
      </c>
      <c r="Z54" s="53">
        <v>0.33110000000000001</v>
      </c>
    </row>
    <row r="55" spans="1:26">
      <c r="A55" s="3" t="s">
        <v>252</v>
      </c>
      <c r="B55" s="3">
        <v>4</v>
      </c>
      <c r="C55" s="53">
        <v>1.7600000000000001E-2</v>
      </c>
      <c r="D55" s="53">
        <v>0.15780620917984589</v>
      </c>
      <c r="E55" s="53">
        <v>0.17039770081786265</v>
      </c>
      <c r="F55" s="53">
        <v>0.21180044461142553</v>
      </c>
      <c r="G55" s="54">
        <v>0.61315592687883902</v>
      </c>
      <c r="H55" s="54">
        <v>0.67065158444684592</v>
      </c>
      <c r="I55" s="53">
        <v>6.9649972884554906E-2</v>
      </c>
      <c r="J55" s="53">
        <v>0.26444809223182186</v>
      </c>
      <c r="K55" s="53">
        <v>5.0854999999999997E-2</v>
      </c>
      <c r="L55" s="53">
        <v>0.1111</v>
      </c>
      <c r="M55" s="53">
        <v>6.6148338379420288E-2</v>
      </c>
      <c r="N55" s="54">
        <v>1.3700896826288935</v>
      </c>
      <c r="O55" s="54">
        <v>1.3474820849008362</v>
      </c>
      <c r="P55" s="54">
        <v>6.2381265148709089</v>
      </c>
      <c r="Q55" s="54">
        <v>8.5388407205521357</v>
      </c>
      <c r="R55" s="54">
        <v>1.816944677335053</v>
      </c>
      <c r="S55" s="54">
        <v>8.0182128970163014</v>
      </c>
      <c r="T55" s="53">
        <v>3.3696495250123547E-2</v>
      </c>
      <c r="U55" s="53">
        <v>-6.7250118034775708E-2</v>
      </c>
      <c r="V55" s="53">
        <v>-2.148426775026158E-4</v>
      </c>
      <c r="W55" s="53">
        <v>-1.671215236463339E-2</v>
      </c>
      <c r="X55" s="53">
        <v>0.19851813516763073</v>
      </c>
      <c r="Y55" s="53">
        <v>0.37142296537371583</v>
      </c>
      <c r="Z55" s="53">
        <v>0.99939999999999996</v>
      </c>
    </row>
    <row r="56" spans="1:26">
      <c r="A56" s="3" t="s">
        <v>253</v>
      </c>
      <c r="B56" s="3">
        <v>166</v>
      </c>
      <c r="C56" s="53">
        <v>0.2328005882352942</v>
      </c>
      <c r="D56" s="53">
        <v>0.37683944417134074</v>
      </c>
      <c r="E56" s="53">
        <v>0.28405709355869363</v>
      </c>
      <c r="F56" s="53">
        <v>5.6130439210446151E-2</v>
      </c>
      <c r="G56" s="54">
        <v>0.79166957649152359</v>
      </c>
      <c r="H56" s="54">
        <v>0.92989873869595874</v>
      </c>
      <c r="I56" s="53">
        <v>8.1575341980014093E-2</v>
      </c>
      <c r="J56" s="53">
        <v>0.46310335310672146</v>
      </c>
      <c r="K56" s="53">
        <v>5.0854999999999997E-2</v>
      </c>
      <c r="L56" s="53">
        <v>0.1888</v>
      </c>
      <c r="M56" s="53">
        <v>7.3373140940301229E-2</v>
      </c>
      <c r="N56" s="54">
        <v>0.79856329783464552</v>
      </c>
      <c r="O56" s="54">
        <v>2.6500043086455731</v>
      </c>
      <c r="P56" s="54">
        <v>4.6683778175149708</v>
      </c>
      <c r="Q56" s="54">
        <v>6.9825673409011877</v>
      </c>
      <c r="R56" s="54">
        <v>1.9431230096211636</v>
      </c>
      <c r="S56" s="54">
        <v>16.325943214833998</v>
      </c>
      <c r="T56" s="53">
        <v>9.9951288617362785E-3</v>
      </c>
      <c r="U56" s="53">
        <v>-0.22847164912298079</v>
      </c>
      <c r="V56" s="53">
        <v>0.16046402665504775</v>
      </c>
      <c r="W56" s="53">
        <v>0.50395048936072928</v>
      </c>
      <c r="X56" s="53">
        <v>0.31094799857184063</v>
      </c>
      <c r="Y56" s="53">
        <v>0.31272316107697362</v>
      </c>
      <c r="Z56" s="53">
        <v>4.8999999999999998E-3</v>
      </c>
    </row>
    <row r="57" spans="1:26">
      <c r="A57" s="3" t="s">
        <v>254</v>
      </c>
      <c r="B57" s="3">
        <v>24</v>
      </c>
      <c r="C57" s="53">
        <v>0.27451533333333339</v>
      </c>
      <c r="D57" s="53">
        <v>0.3821215803091032</v>
      </c>
      <c r="E57" s="53">
        <v>0.20602082553480802</v>
      </c>
      <c r="F57" s="53">
        <v>9.250754845249437E-2</v>
      </c>
      <c r="G57" s="54">
        <v>0.51796852596856913</v>
      </c>
      <c r="H57" s="54">
        <v>0.79075215100878704</v>
      </c>
      <c r="I57" s="53">
        <v>7.5174598946404214E-2</v>
      </c>
      <c r="J57" s="53">
        <v>0.32547547332498222</v>
      </c>
      <c r="K57" s="53">
        <v>5.0854999999999997E-2</v>
      </c>
      <c r="L57" s="53">
        <v>0.41249999999999998</v>
      </c>
      <c r="M57" s="53">
        <v>5.9897565896131919E-2</v>
      </c>
      <c r="N57" s="54">
        <v>0.59413677185269997</v>
      </c>
      <c r="O57" s="54">
        <v>3.5771916018946355</v>
      </c>
      <c r="P57" s="54">
        <v>7.3117668440851462</v>
      </c>
      <c r="Q57" s="54">
        <v>9.2923197649384655</v>
      </c>
      <c r="R57" s="54">
        <v>2.3169738478309978</v>
      </c>
      <c r="S57" s="54">
        <v>18.412840120237689</v>
      </c>
      <c r="T57" s="53">
        <v>2.5338522415672818E-2</v>
      </c>
      <c r="U57" s="53">
        <v>5.0148697565255682E-2</v>
      </c>
      <c r="V57" s="53">
        <v>0.13121071073961837</v>
      </c>
      <c r="W57" s="53">
        <v>0.40284567963839019</v>
      </c>
      <c r="X57" s="53">
        <v>0.42406084058617804</v>
      </c>
      <c r="Y57" s="53">
        <v>0.39844096378722926</v>
      </c>
      <c r="Z57" s="53">
        <v>2.2572999999999999</v>
      </c>
    </row>
    <row r="58" spans="1:26">
      <c r="A58" s="3" t="s">
        <v>255</v>
      </c>
      <c r="B58" s="3">
        <v>100</v>
      </c>
      <c r="C58" s="53">
        <v>7.7372121212121239E-2</v>
      </c>
      <c r="D58" s="53">
        <v>8.8303707273693438E-2</v>
      </c>
      <c r="E58" s="53">
        <v>0.28021406956927292</v>
      </c>
      <c r="F58" s="53">
        <v>0.10878176070621855</v>
      </c>
      <c r="G58" s="54">
        <v>0.78929129285776589</v>
      </c>
      <c r="H58" s="54">
        <v>0.9795500315745983</v>
      </c>
      <c r="I58" s="53">
        <v>8.385930145243152E-2</v>
      </c>
      <c r="J58" s="53">
        <v>0.43728736432048126</v>
      </c>
      <c r="K58" s="53">
        <v>5.0854999999999997E-2</v>
      </c>
      <c r="L58" s="53">
        <v>0.2432</v>
      </c>
      <c r="M58" s="53">
        <v>7.2739439201454981E-2</v>
      </c>
      <c r="N58" s="54">
        <v>3.553462668606814</v>
      </c>
      <c r="O58" s="54">
        <v>0.62823830145194459</v>
      </c>
      <c r="P58" s="54">
        <v>5.4241303880351577</v>
      </c>
      <c r="Q58" s="54">
        <v>7.0794352962597635</v>
      </c>
      <c r="R58" s="54">
        <v>1.9840962070304522</v>
      </c>
      <c r="S58" s="54">
        <v>70.298228177707173</v>
      </c>
      <c r="T58" s="53">
        <v>6.3418447061245012E-2</v>
      </c>
      <c r="U58" s="53">
        <v>-7.939312059139853E-4</v>
      </c>
      <c r="V58" s="53">
        <v>5.7629495091217316E-3</v>
      </c>
      <c r="W58" s="53">
        <v>0.15485672710250106</v>
      </c>
      <c r="X58" s="53">
        <v>0.29646913716435203</v>
      </c>
      <c r="Y58" s="53">
        <v>0.18808725311152891</v>
      </c>
      <c r="Z58" s="53">
        <v>0.5181</v>
      </c>
    </row>
    <row r="59" spans="1:26">
      <c r="A59" s="3" t="s">
        <v>256</v>
      </c>
      <c r="B59" s="3">
        <v>11</v>
      </c>
      <c r="C59" s="53">
        <v>4.6280999999999996E-2</v>
      </c>
      <c r="D59" s="53">
        <v>0.10208050106476689</v>
      </c>
      <c r="E59" s="53">
        <v>0.14468950470501363</v>
      </c>
      <c r="F59" s="53">
        <v>0.21570367350814851</v>
      </c>
      <c r="G59" s="54">
        <v>0.5647968018796421</v>
      </c>
      <c r="H59" s="54">
        <v>0.86758967833953515</v>
      </c>
      <c r="I59" s="53">
        <v>7.8709125203618613E-2</v>
      </c>
      <c r="J59" s="53">
        <v>0.22797402634512051</v>
      </c>
      <c r="K59" s="53">
        <v>4.5043E-2</v>
      </c>
      <c r="L59" s="53">
        <v>0.4168</v>
      </c>
      <c r="M59" s="53">
        <v>5.9981542467188606E-2</v>
      </c>
      <c r="N59" s="54">
        <v>1.8070981130643691</v>
      </c>
      <c r="O59" s="54">
        <v>1.4851151918346988</v>
      </c>
      <c r="P59" s="54">
        <v>9.2815278201038112</v>
      </c>
      <c r="Q59" s="54">
        <v>14.548466635999445</v>
      </c>
      <c r="R59" s="54">
        <v>2.9619162642561543</v>
      </c>
      <c r="S59" s="54">
        <v>17.370818385055024</v>
      </c>
      <c r="T59" s="53">
        <v>7.6715870784513529E-2</v>
      </c>
      <c r="U59" s="53">
        <v>2.177664819877731E-2</v>
      </c>
      <c r="V59" s="53">
        <v>3.8600392724298972E-2</v>
      </c>
      <c r="W59" s="53">
        <v>0.70321264532913874</v>
      </c>
      <c r="X59" s="53">
        <v>0.19622775667533635</v>
      </c>
      <c r="Y59" s="53">
        <v>0.25848828708559801</v>
      </c>
      <c r="Z59" s="53">
        <v>0.35849999999999999</v>
      </c>
    </row>
    <row r="60" spans="1:26">
      <c r="A60" s="3" t="s">
        <v>257</v>
      </c>
      <c r="B60" s="3">
        <v>7</v>
      </c>
      <c r="C60" s="53">
        <v>3.8425000000000001E-2</v>
      </c>
      <c r="D60" s="53">
        <v>0.10076030717260351</v>
      </c>
      <c r="E60" s="53">
        <v>0.18901373691463047</v>
      </c>
      <c r="F60" s="53">
        <v>0.12914141300012244</v>
      </c>
      <c r="G60" s="54">
        <v>1.5139152943058258</v>
      </c>
      <c r="H60" s="54">
        <v>1.9382231536190784</v>
      </c>
      <c r="I60" s="53">
        <v>0.12795826506647762</v>
      </c>
      <c r="J60" s="53">
        <v>0.43036486711913036</v>
      </c>
      <c r="K60" s="53">
        <v>5.0854999999999997E-2</v>
      </c>
      <c r="L60" s="53">
        <v>0.27200000000000002</v>
      </c>
      <c r="M60" s="53">
        <v>0.10352473153234908</v>
      </c>
      <c r="N60" s="54">
        <v>2.1382237014668712</v>
      </c>
      <c r="O60" s="54">
        <v>1.039978868393705</v>
      </c>
      <c r="P60" s="54">
        <v>7.0633686570128136</v>
      </c>
      <c r="Q60" s="54">
        <v>10.309929699692999</v>
      </c>
      <c r="R60" s="54">
        <v>2.420835985244048</v>
      </c>
      <c r="S60" s="54">
        <v>19.990268135629133</v>
      </c>
      <c r="T60" s="53">
        <v>0.12896672468828177</v>
      </c>
      <c r="U60" s="53">
        <v>-2.8965992312751398E-3</v>
      </c>
      <c r="V60" s="53">
        <v>5.0747159393665635E-2</v>
      </c>
      <c r="W60" s="53">
        <v>0.99702940057992662</v>
      </c>
      <c r="X60" s="53">
        <v>0.15165444471442061</v>
      </c>
      <c r="Y60" s="53">
        <v>0.27578599007170435</v>
      </c>
      <c r="Z60" s="53">
        <v>1.1308</v>
      </c>
    </row>
    <row r="61" spans="1:26">
      <c r="A61" s="3" t="s">
        <v>258</v>
      </c>
      <c r="B61" s="3">
        <v>50</v>
      </c>
      <c r="C61" s="53">
        <v>5.3279999999999987E-2</v>
      </c>
      <c r="D61" s="53">
        <v>0.16287728602549201</v>
      </c>
      <c r="E61" s="53">
        <v>5.7838808795451627E-2</v>
      </c>
      <c r="F61" s="53">
        <v>0.13685656820612682</v>
      </c>
      <c r="G61" s="54">
        <v>0.38341453466077507</v>
      </c>
      <c r="H61" s="54">
        <v>0.65062741829817849</v>
      </c>
      <c r="I61" s="53">
        <v>6.8728861241716205E-2</v>
      </c>
      <c r="J61" s="53">
        <v>0.20394370124554315</v>
      </c>
      <c r="K61" s="53">
        <v>4.5043E-2</v>
      </c>
      <c r="L61" s="53">
        <v>0.48170000000000002</v>
      </c>
      <c r="M61" s="53">
        <v>5.189644229561903E-2</v>
      </c>
      <c r="N61" s="54">
        <v>0.4114319764618295</v>
      </c>
      <c r="O61" s="54">
        <v>3.7153854274683433</v>
      </c>
      <c r="P61" s="54">
        <v>11.691846058595218</v>
      </c>
      <c r="Q61" s="54">
        <v>22.339910401761529</v>
      </c>
      <c r="R61" s="54">
        <v>1.7113225687107074</v>
      </c>
      <c r="S61" s="54">
        <v>23.19158205893271</v>
      </c>
      <c r="T61" s="53">
        <v>8.2551593545111768E-2</v>
      </c>
      <c r="U61" s="53">
        <v>0.20554745056513421</v>
      </c>
      <c r="V61" s="53">
        <v>0.22702951827873996</v>
      </c>
      <c r="W61" s="53">
        <v>1.7342755771524554</v>
      </c>
      <c r="X61" s="53">
        <v>8.6033634105900814E-2</v>
      </c>
      <c r="Y61" s="53">
        <v>0.76674406940227546</v>
      </c>
      <c r="Z61" s="53">
        <v>0.68679999999999997</v>
      </c>
    </row>
    <row r="62" spans="1:26">
      <c r="A62" s="3" t="s">
        <v>259</v>
      </c>
      <c r="B62" s="3">
        <v>61</v>
      </c>
      <c r="C62" s="53">
        <v>0.116358</v>
      </c>
      <c r="D62" s="53">
        <v>9.5593216693681315E-2</v>
      </c>
      <c r="E62" s="53">
        <v>4.6929693296862557E-2</v>
      </c>
      <c r="F62" s="53">
        <v>1.9845620463018968E-2</v>
      </c>
      <c r="G62" s="54">
        <v>0.77999610115459062</v>
      </c>
      <c r="H62" s="54">
        <v>0.86895093981506022</v>
      </c>
      <c r="I62" s="53">
        <v>7.8771743231492775E-2</v>
      </c>
      <c r="J62" s="53">
        <v>0.63609473927989657</v>
      </c>
      <c r="K62" s="53">
        <v>5.3524000000000002E-2</v>
      </c>
      <c r="L62" s="53">
        <v>0.13200000000000001</v>
      </c>
      <c r="M62" s="53">
        <v>7.3673139684637678E-2</v>
      </c>
      <c r="N62" s="54">
        <v>0.50505304327330192</v>
      </c>
      <c r="O62" s="54">
        <v>3.955802095084481</v>
      </c>
      <c r="P62" s="54">
        <v>13.009572620028603</v>
      </c>
      <c r="Q62" s="54">
        <v>40.056477737396648</v>
      </c>
      <c r="R62" s="54">
        <v>2.0363465513114485</v>
      </c>
      <c r="S62" s="54">
        <v>34.232639448888236</v>
      </c>
      <c r="T62" s="53">
        <v>9.8325052009865355E-2</v>
      </c>
      <c r="U62" s="53">
        <v>-8.1864633393163536E-2</v>
      </c>
      <c r="V62" s="53">
        <v>9.5405975749894428E-2</v>
      </c>
      <c r="W62" s="53">
        <v>1.4626231735473461</v>
      </c>
      <c r="X62" s="53">
        <v>-2.3341970007055318E-2</v>
      </c>
      <c r="Y62" s="53">
        <v>8.8351216929083726E-3</v>
      </c>
      <c r="Z62" s="53">
        <v>2.3999999999999998E-3</v>
      </c>
    </row>
    <row r="63" spans="1:26">
      <c r="A63" s="3" t="s">
        <v>260</v>
      </c>
      <c r="B63" s="3">
        <v>13</v>
      </c>
      <c r="C63" s="53">
        <v>1.886888888888889E-2</v>
      </c>
      <c r="D63" s="53">
        <v>7.1521223527960753E-2</v>
      </c>
      <c r="E63" s="53">
        <v>0.11743909189085758</v>
      </c>
      <c r="F63" s="53">
        <v>0.10663894516423554</v>
      </c>
      <c r="G63" s="54">
        <v>0.75542556054331078</v>
      </c>
      <c r="H63" s="54">
        <v>0.91822392434292299</v>
      </c>
      <c r="I63" s="53">
        <v>8.1038300519774453E-2</v>
      </c>
      <c r="J63" s="53">
        <v>0.31017152439390305</v>
      </c>
      <c r="K63" s="53">
        <v>5.0854999999999997E-2</v>
      </c>
      <c r="L63" s="53">
        <v>0.22320000000000001</v>
      </c>
      <c r="M63" s="53">
        <v>7.1463471220523392E-2</v>
      </c>
      <c r="N63" s="54">
        <v>1.8067191265961897</v>
      </c>
      <c r="O63" s="54">
        <v>1.6155964877241813</v>
      </c>
      <c r="P63" s="54">
        <v>11.874911514750378</v>
      </c>
      <c r="Q63" s="54">
        <v>22.460692247101811</v>
      </c>
      <c r="R63" s="54">
        <v>2.0327328801923263</v>
      </c>
      <c r="S63" s="54">
        <v>33.966609637973768</v>
      </c>
      <c r="T63" s="53">
        <v>0.11799856960408685</v>
      </c>
      <c r="U63" s="53">
        <v>5.6288048002505545E-3</v>
      </c>
      <c r="V63" s="53">
        <v>-1.4497011494252865E-2</v>
      </c>
      <c r="W63" s="53">
        <v>-0.12400404330731554</v>
      </c>
      <c r="X63" s="53">
        <v>2.5384759683220643E-2</v>
      </c>
      <c r="Y63" s="53">
        <v>0.96086621256907867</v>
      </c>
      <c r="Z63" s="53">
        <v>1.1288</v>
      </c>
    </row>
    <row r="64" spans="1:26">
      <c r="A64" s="3" t="s">
        <v>261</v>
      </c>
      <c r="B64" s="3">
        <v>181</v>
      </c>
      <c r="C64" s="53">
        <v>7.9506184210526312E-2</v>
      </c>
      <c r="D64" s="53">
        <v>0.19652368248741175</v>
      </c>
      <c r="E64" s="53">
        <v>2.604602253380742E-2</v>
      </c>
      <c r="F64" s="53">
        <v>1.9726696351117404E-2</v>
      </c>
      <c r="G64" s="54">
        <v>0.64078756167406792</v>
      </c>
      <c r="H64" s="54">
        <v>1.0241702628809981</v>
      </c>
      <c r="I64" s="53">
        <v>8.5911832092525911E-2</v>
      </c>
      <c r="J64" s="53">
        <v>0.23590766129106594</v>
      </c>
      <c r="K64" s="53">
        <v>4.5043E-2</v>
      </c>
      <c r="L64" s="53">
        <v>0.44369999999999998</v>
      </c>
      <c r="M64" s="53">
        <v>6.2779660856208216E-2</v>
      </c>
      <c r="N64" s="54">
        <v>0.13519492153145526</v>
      </c>
      <c r="O64" s="54">
        <v>11.736514441111494</v>
      </c>
      <c r="P64" s="54">
        <v>21.912087518157193</v>
      </c>
      <c r="Q64" s="54">
        <v>53.479159627199742</v>
      </c>
      <c r="R64" s="54">
        <v>1.9827496103359104</v>
      </c>
      <c r="S64" s="54">
        <v>123.35864097594961</v>
      </c>
      <c r="T64" s="53">
        <v>1.1777065426859592</v>
      </c>
      <c r="U64" s="53">
        <v>-0.15306880511760745</v>
      </c>
      <c r="V64" s="53">
        <v>-0.16888406313044227</v>
      </c>
      <c r="W64" s="53">
        <v>-0.82957560768677063</v>
      </c>
      <c r="X64" s="53">
        <v>4.1547193007393492E-2</v>
      </c>
      <c r="Y64" s="53">
        <v>2.320757535648835</v>
      </c>
      <c r="Z64" s="53">
        <v>1.3782000000000001</v>
      </c>
    </row>
    <row r="65" spans="1:26">
      <c r="A65" s="3" t="s">
        <v>262</v>
      </c>
      <c r="B65" s="3">
        <v>17</v>
      </c>
      <c r="C65" s="53">
        <v>0.55561666666666665</v>
      </c>
      <c r="D65" s="53">
        <v>0.11158676233778687</v>
      </c>
      <c r="E65" s="53">
        <v>2.9287042485061747E-2</v>
      </c>
      <c r="F65" s="53">
        <v>1.4520067954979827E-2</v>
      </c>
      <c r="G65" s="54">
        <v>0.39196912740588868</v>
      </c>
      <c r="H65" s="54">
        <v>0.66859406140799615</v>
      </c>
      <c r="I65" s="53">
        <v>6.9555326824767824E-2</v>
      </c>
      <c r="J65" s="53">
        <v>0.34240037014717128</v>
      </c>
      <c r="K65" s="53">
        <v>5.0854999999999997E-2</v>
      </c>
      <c r="L65" s="53">
        <v>0.48480000000000001</v>
      </c>
      <c r="M65" s="53">
        <v>5.4325937012590225E-2</v>
      </c>
      <c r="N65" s="54">
        <v>0.26632691318970303</v>
      </c>
      <c r="O65" s="54">
        <v>4.3826293726146881</v>
      </c>
      <c r="P65" s="54">
        <v>17.93205737756681</v>
      </c>
      <c r="Q65" s="54">
        <v>36.271131152719285</v>
      </c>
      <c r="R65" s="54">
        <v>1.3514347597641898</v>
      </c>
      <c r="S65" s="54">
        <v>8.0221176983239513</v>
      </c>
      <c r="T65" s="53">
        <v>4.0784818863112492E-2</v>
      </c>
      <c r="U65" s="53">
        <v>0.21690308145710785</v>
      </c>
      <c r="V65" s="53">
        <v>-5.9288075101082707E-2</v>
      </c>
      <c r="W65" s="53">
        <v>-0.97271208117751418</v>
      </c>
      <c r="X65" s="53">
        <v>-8.5380378934187581E-2</v>
      </c>
      <c r="Y65" s="53">
        <v>0</v>
      </c>
      <c r="Z65" s="53">
        <v>0</v>
      </c>
    </row>
    <row r="66" spans="1:26">
      <c r="A66" s="3" t="s">
        <v>263</v>
      </c>
      <c r="B66" s="3">
        <v>11</v>
      </c>
      <c r="C66" s="53">
        <v>9.080400000000001E-2</v>
      </c>
      <c r="D66" s="53">
        <v>0.1643542931994576</v>
      </c>
      <c r="E66" s="53">
        <v>5.3122203722769448E-2</v>
      </c>
      <c r="F66" s="53">
        <v>0.13211625694171472</v>
      </c>
      <c r="G66" s="54">
        <v>0.45483353000656723</v>
      </c>
      <c r="H66" s="54">
        <v>0.56357223766363951</v>
      </c>
      <c r="I66" s="53">
        <v>6.4724322932527417E-2</v>
      </c>
      <c r="J66" s="53">
        <v>0.35907096541478567</v>
      </c>
      <c r="K66" s="53">
        <v>5.0854999999999997E-2</v>
      </c>
      <c r="L66" s="53">
        <v>0.2417</v>
      </c>
      <c r="M66" s="53">
        <v>5.8298803382405284E-2</v>
      </c>
      <c r="N66" s="54">
        <v>0.37242041233481304</v>
      </c>
      <c r="O66" s="54">
        <v>4.7788406442155482</v>
      </c>
      <c r="P66" s="54">
        <v>18.009159397595386</v>
      </c>
      <c r="Q66" s="54">
        <v>28.438668024742345</v>
      </c>
      <c r="R66" s="54">
        <v>1.2470691827068427</v>
      </c>
      <c r="S66" s="54">
        <v>33.226230825792904</v>
      </c>
      <c r="T66" s="53">
        <v>2.0129995050321732</v>
      </c>
      <c r="U66" s="53">
        <v>-2.9910701827821965E-2</v>
      </c>
      <c r="V66" s="53">
        <v>-5.1359511631743945E-2</v>
      </c>
      <c r="W66" s="53">
        <v>-0.59412378257803355</v>
      </c>
      <c r="X66" s="53">
        <v>9.1092056157810561E-2</v>
      </c>
      <c r="Y66" s="53">
        <v>0.24923181973369751</v>
      </c>
      <c r="Z66" s="53">
        <v>4.4936999999999996</v>
      </c>
    </row>
    <row r="67" spans="1:26">
      <c r="A67" s="3" t="s">
        <v>264</v>
      </c>
      <c r="B67" s="3">
        <v>60</v>
      </c>
      <c r="C67" s="53">
        <v>5.4392666666666666E-2</v>
      </c>
      <c r="D67" s="53">
        <v>5.1509621104076195E-4</v>
      </c>
      <c r="E67" s="53">
        <v>6.7119159647465029E-4</v>
      </c>
      <c r="F67" s="53">
        <v>4.2930739946028362E-2</v>
      </c>
      <c r="G67" s="54">
        <v>0.80953844628084592</v>
      </c>
      <c r="H67" s="54">
        <v>1.0801188936162607</v>
      </c>
      <c r="I67" s="53">
        <v>8.8485469106347997E-2</v>
      </c>
      <c r="J67" s="53">
        <v>0.44192228893495522</v>
      </c>
      <c r="K67" s="53">
        <v>5.0854999999999997E-2</v>
      </c>
      <c r="L67" s="53">
        <v>0.30830000000000002</v>
      </c>
      <c r="M67" s="53">
        <v>7.2965782106321375E-2</v>
      </c>
      <c r="N67" s="54">
        <v>1.44524314073108</v>
      </c>
      <c r="O67" s="54">
        <v>1.5074220348746605</v>
      </c>
      <c r="P67" s="54">
        <v>14.981930532197556</v>
      </c>
      <c r="Q67" s="54" t="s">
        <v>584</v>
      </c>
      <c r="R67" s="54">
        <v>2.8721502379113324</v>
      </c>
      <c r="S67" s="54">
        <v>104.23604792269977</v>
      </c>
      <c r="T67" s="53">
        <v>9.6938280068516611E-2</v>
      </c>
      <c r="U67" s="53">
        <v>-6.3576461763783796E-3</v>
      </c>
      <c r="V67" s="53">
        <v>-1.1660648443319731E-2</v>
      </c>
      <c r="W67" s="53" t="s">
        <v>584</v>
      </c>
      <c r="X67" s="53">
        <v>-8.2699453594316241E-2</v>
      </c>
      <c r="Y67" s="53">
        <v>7.6188461338059024E-3</v>
      </c>
      <c r="Z67" s="53">
        <v>0.1008</v>
      </c>
    </row>
    <row r="68" spans="1:26">
      <c r="A68" s="3" t="s">
        <v>265</v>
      </c>
      <c r="B68" s="3">
        <v>55</v>
      </c>
      <c r="C68" s="53">
        <v>0.10951862068965518</v>
      </c>
      <c r="D68" s="53">
        <v>8.0952469162893961E-2</v>
      </c>
      <c r="E68" s="53">
        <v>9.5367541711306333E-2</v>
      </c>
      <c r="F68" s="53">
        <v>8.2618049083441364E-2</v>
      </c>
      <c r="G68" s="54">
        <v>0.8137837094635364</v>
      </c>
      <c r="H68" s="54">
        <v>1.17128693009822</v>
      </c>
      <c r="I68" s="53">
        <v>9.2679198784518121E-2</v>
      </c>
      <c r="J68" s="53">
        <v>0.44295221149390968</v>
      </c>
      <c r="K68" s="53">
        <v>5.0854999999999997E-2</v>
      </c>
      <c r="L68" s="53">
        <v>0.36940000000000001</v>
      </c>
      <c r="M68" s="53">
        <v>7.2533852304847587E-2</v>
      </c>
      <c r="N68" s="54">
        <v>1.28318501683349</v>
      </c>
      <c r="O68" s="54">
        <v>1.8421118883204324</v>
      </c>
      <c r="P68" s="54">
        <v>9.9873894498440308</v>
      </c>
      <c r="Q68" s="54">
        <v>21.71796210872423</v>
      </c>
      <c r="R68" s="54">
        <v>3.4596231451635577</v>
      </c>
      <c r="S68" s="54">
        <v>27.700115574206265</v>
      </c>
      <c r="T68" s="53">
        <v>0.18037794033907653</v>
      </c>
      <c r="U68" s="53">
        <v>0.11377842440533756</v>
      </c>
      <c r="V68" s="53">
        <v>3.2100923079553575E-2</v>
      </c>
      <c r="W68" s="53">
        <v>0.56158342782299575</v>
      </c>
      <c r="X68" s="53">
        <v>2.5626629604530146E-2</v>
      </c>
      <c r="Y68" s="53">
        <v>1.9958513365724233</v>
      </c>
      <c r="Z68" s="53">
        <v>1.1976</v>
      </c>
    </row>
    <row r="69" spans="1:26">
      <c r="A69" s="3" t="s">
        <v>266</v>
      </c>
      <c r="B69" s="3">
        <v>1</v>
      </c>
      <c r="C69" s="53">
        <v>6.9500000000000006E-2</v>
      </c>
      <c r="D69" s="53">
        <v>9.6553255050935372E-2</v>
      </c>
      <c r="E69" s="53">
        <v>0.30116910073399067</v>
      </c>
      <c r="F69" s="53">
        <v>0.22953020134228189</v>
      </c>
      <c r="G69" s="54">
        <v>0.49668899325535054</v>
      </c>
      <c r="H69" s="54">
        <v>0.65514402605202471</v>
      </c>
      <c r="I69" s="53">
        <v>6.8936625198393137E-2</v>
      </c>
      <c r="J69" s="53">
        <v>0.17094029032718663</v>
      </c>
      <c r="K69" s="53">
        <v>4.5043E-2</v>
      </c>
      <c r="L69" s="53">
        <v>0.2984</v>
      </c>
      <c r="M69" s="53">
        <v>5.8445695343822532E-2</v>
      </c>
      <c r="N69" s="54">
        <v>4.0484415459074663</v>
      </c>
      <c r="O69" s="54">
        <v>0.68963176352401712</v>
      </c>
      <c r="P69" s="54">
        <v>7.2830308277311326</v>
      </c>
      <c r="Q69" s="54">
        <v>7.1425014429623443</v>
      </c>
      <c r="R69" s="54">
        <v>1.3077640132466577</v>
      </c>
      <c r="S69" s="54">
        <v>9.3446099912357585</v>
      </c>
      <c r="T69" s="53">
        <v>0.17093826610207266</v>
      </c>
      <c r="U69" s="53">
        <v>-9.8234674161250621E-3</v>
      </c>
      <c r="V69" s="53">
        <v>4.3263873412079337E-2</v>
      </c>
      <c r="W69" s="53">
        <v>0.75607995316740739</v>
      </c>
      <c r="X69" s="53">
        <v>0.31234601697235148</v>
      </c>
      <c r="Y69" s="53">
        <v>0.18930762489044697</v>
      </c>
      <c r="Z69" s="53">
        <v>9.2499999999999999E-2</v>
      </c>
    </row>
    <row r="70" spans="1:26">
      <c r="A70" s="3" t="s">
        <v>267</v>
      </c>
      <c r="B70" s="3">
        <v>64</v>
      </c>
      <c r="C70" s="53">
        <v>6.7960000000000007E-2</v>
      </c>
      <c r="D70" s="53">
        <v>0.13487076046383994</v>
      </c>
      <c r="E70" s="53">
        <v>0.19557552942837814</v>
      </c>
      <c r="F70" s="53">
        <v>0.11412279619274342</v>
      </c>
      <c r="G70" s="54">
        <v>1.0013618275712217</v>
      </c>
      <c r="H70" s="54">
        <v>1.194577320424228</v>
      </c>
      <c r="I70" s="53">
        <v>9.375055673951449E-2</v>
      </c>
      <c r="J70" s="53">
        <v>0.35372310643077254</v>
      </c>
      <c r="K70" s="53">
        <v>5.0854999999999997E-2</v>
      </c>
      <c r="L70" s="53">
        <v>0.2046</v>
      </c>
      <c r="M70" s="53">
        <v>8.2371442002662512E-2</v>
      </c>
      <c r="N70" s="54">
        <v>1.6196890156518917</v>
      </c>
      <c r="O70" s="54">
        <v>4.1943615958584566</v>
      </c>
      <c r="P70" s="54">
        <v>16.598910443571427</v>
      </c>
      <c r="Q70" s="54">
        <v>29.333020694460565</v>
      </c>
      <c r="R70" s="54" t="s">
        <v>584</v>
      </c>
      <c r="S70" s="54">
        <v>94.189098132402151</v>
      </c>
      <c r="T70" s="53">
        <v>8.6042887900802303E-3</v>
      </c>
      <c r="U70" s="53">
        <v>2.4713858138244199E-2</v>
      </c>
      <c r="V70" s="53">
        <v>3.5722685370995058E-2</v>
      </c>
      <c r="W70" s="53">
        <v>0.34511083241843721</v>
      </c>
      <c r="X70" s="53" t="s">
        <v>584</v>
      </c>
      <c r="Y70" s="53">
        <v>0.53075598955740277</v>
      </c>
      <c r="Z70" s="53">
        <v>0.51759999999999995</v>
      </c>
    </row>
    <row r="71" spans="1:26">
      <c r="A71" s="3" t="s">
        <v>268</v>
      </c>
      <c r="B71" s="3">
        <v>30</v>
      </c>
      <c r="C71" s="53">
        <v>0.17498636363636366</v>
      </c>
      <c r="D71" s="53">
        <v>5.7095367312297002E-2</v>
      </c>
      <c r="E71" s="53">
        <v>0.13195481158300898</v>
      </c>
      <c r="F71" s="53">
        <v>0.13496183038859538</v>
      </c>
      <c r="G71" s="54">
        <v>1.0441172212475893</v>
      </c>
      <c r="H71" s="54">
        <v>1.4944959500823904</v>
      </c>
      <c r="I71" s="53">
        <v>0.10754681370378996</v>
      </c>
      <c r="J71" s="53">
        <v>0.46787574959813977</v>
      </c>
      <c r="K71" s="53">
        <v>5.0854999999999997E-2</v>
      </c>
      <c r="L71" s="53">
        <v>0.36509999999999998</v>
      </c>
      <c r="M71" s="53">
        <v>8.2204588449865917E-2</v>
      </c>
      <c r="N71" s="54">
        <v>2.6698337874045341</v>
      </c>
      <c r="O71" s="54">
        <v>1.0494760169508079</v>
      </c>
      <c r="P71" s="54">
        <v>11.625721407059311</v>
      </c>
      <c r="Q71" s="54">
        <v>17.424466432833757</v>
      </c>
      <c r="R71" s="54">
        <v>6.9701147308624885</v>
      </c>
      <c r="S71" s="54">
        <v>17.888727923754509</v>
      </c>
      <c r="T71" s="53">
        <v>9.9833697994084286E-2</v>
      </c>
      <c r="U71" s="53">
        <v>1.7203559314504849E-2</v>
      </c>
      <c r="V71" s="53">
        <v>2.1762603098834987E-2</v>
      </c>
      <c r="W71" s="53">
        <v>0.71346116785558666</v>
      </c>
      <c r="X71" s="53">
        <v>0.47328545526154348</v>
      </c>
      <c r="Y71" s="53">
        <v>5.7941597498037609E-2</v>
      </c>
      <c r="Z71" s="53">
        <v>3.5499999999999997E-2</v>
      </c>
    </row>
    <row r="72" spans="1:26">
      <c r="A72" s="3" t="s">
        <v>269</v>
      </c>
      <c r="B72" s="3">
        <v>16</v>
      </c>
      <c r="C72" s="53">
        <v>8.9053846153846164E-2</v>
      </c>
      <c r="D72" s="53">
        <v>0.12380164491660697</v>
      </c>
      <c r="E72" s="53">
        <v>0.39426101011063314</v>
      </c>
      <c r="F72" s="53">
        <v>0.12587728059564698</v>
      </c>
      <c r="G72" s="54">
        <v>1.6862214185523963</v>
      </c>
      <c r="H72" s="54">
        <v>1.9381785697071496</v>
      </c>
      <c r="I72" s="53">
        <v>0.12795621420652886</v>
      </c>
      <c r="J72" s="53">
        <v>0.45210582664645632</v>
      </c>
      <c r="K72" s="53">
        <v>5.0854999999999997E-2</v>
      </c>
      <c r="L72" s="53">
        <v>0.1661</v>
      </c>
      <c r="M72" s="53">
        <v>0.11303522243500778</v>
      </c>
      <c r="N72" s="54">
        <v>3.6418165867455921</v>
      </c>
      <c r="O72" s="54">
        <v>2.1699324764427979</v>
      </c>
      <c r="P72" s="54">
        <v>13.331901910729169</v>
      </c>
      <c r="Q72" s="54">
        <v>17.190761080323021</v>
      </c>
      <c r="R72" s="54" t="s">
        <v>584</v>
      </c>
      <c r="S72" s="54">
        <v>27.87080707923468</v>
      </c>
      <c r="T72" s="53">
        <v>8.4696827644573189E-2</v>
      </c>
      <c r="U72" s="53">
        <v>2.0227784508702832E-3</v>
      </c>
      <c r="V72" s="53">
        <v>8.4849635897816383E-3</v>
      </c>
      <c r="W72" s="53">
        <v>2.3337337560001278E-2</v>
      </c>
      <c r="X72" s="53" t="s">
        <v>584</v>
      </c>
      <c r="Y72" s="53">
        <v>0.46644741818218693</v>
      </c>
      <c r="Z72" s="53">
        <v>0.38719999999999999</v>
      </c>
    </row>
    <row r="73" spans="1:26">
      <c r="A73" s="3" t="s">
        <v>270</v>
      </c>
      <c r="B73" s="3">
        <v>62</v>
      </c>
      <c r="C73" s="53">
        <v>5.8054594594594583E-2</v>
      </c>
      <c r="D73" s="53">
        <v>0.12177940105613401</v>
      </c>
      <c r="E73" s="53">
        <v>0.18608587925495401</v>
      </c>
      <c r="F73" s="53">
        <v>0.15762926330548485</v>
      </c>
      <c r="G73" s="54">
        <v>0.8904042261878613</v>
      </c>
      <c r="H73" s="54">
        <v>1.106042693037566</v>
      </c>
      <c r="I73" s="53">
        <v>8.967796387972804E-2</v>
      </c>
      <c r="J73" s="53">
        <v>0.37735750438183585</v>
      </c>
      <c r="K73" s="53">
        <v>5.0854999999999997E-2</v>
      </c>
      <c r="L73" s="53">
        <v>0.24410000000000001</v>
      </c>
      <c r="M73" s="53">
        <v>7.7098414186277886E-2</v>
      </c>
      <c r="N73" s="54">
        <v>1.8156573835628624</v>
      </c>
      <c r="O73" s="54">
        <v>1.8130781123729549</v>
      </c>
      <c r="P73" s="54">
        <v>11.632873296385332</v>
      </c>
      <c r="Q73" s="54">
        <v>13.822749735595126</v>
      </c>
      <c r="R73" s="54">
        <v>4.0303872285760063</v>
      </c>
      <c r="S73" s="54">
        <v>28.908314358128138</v>
      </c>
      <c r="T73" s="53">
        <v>0.17415504658831088</v>
      </c>
      <c r="U73" s="53">
        <v>5.0780477336164566E-2</v>
      </c>
      <c r="V73" s="53">
        <v>9.2151064103531105E-2</v>
      </c>
      <c r="W73" s="53">
        <v>1.0375036244575058</v>
      </c>
      <c r="X73" s="53">
        <v>0.25451622985825711</v>
      </c>
      <c r="Y73" s="53">
        <v>0.25220531066727753</v>
      </c>
      <c r="Z73" s="53">
        <v>0.31509999999999999</v>
      </c>
    </row>
    <row r="74" spans="1:26">
      <c r="A74" s="3" t="s">
        <v>271</v>
      </c>
      <c r="B74" s="3">
        <v>26</v>
      </c>
      <c r="C74" s="53">
        <v>0.18063052631578944</v>
      </c>
      <c r="D74" s="53">
        <v>4.0773326308846822E-2</v>
      </c>
      <c r="E74" s="53">
        <v>9.8929938052508604E-2</v>
      </c>
      <c r="F74" s="53">
        <v>0.1457769908309445</v>
      </c>
      <c r="G74" s="54">
        <v>1.1326424542436988</v>
      </c>
      <c r="H74" s="54">
        <v>1.2466770513434235</v>
      </c>
      <c r="I74" s="53">
        <v>9.6147144361797485E-2</v>
      </c>
      <c r="J74" s="53">
        <v>0.38283198873816127</v>
      </c>
      <c r="K74" s="53">
        <v>5.0854999999999997E-2</v>
      </c>
      <c r="L74" s="53">
        <v>0.11840000000000001</v>
      </c>
      <c r="M74" s="53">
        <v>8.9282000671898204E-2</v>
      </c>
      <c r="N74" s="54">
        <v>2.411559428998697</v>
      </c>
      <c r="O74" s="54">
        <v>1.5688483400026725</v>
      </c>
      <c r="P74" s="54">
        <v>16.631295752592539</v>
      </c>
      <c r="Q74" s="54">
        <v>38.46582980994355</v>
      </c>
      <c r="R74" s="54">
        <v>7.2422855039301099</v>
      </c>
      <c r="S74" s="54">
        <v>29.844016342968811</v>
      </c>
      <c r="T74" s="53">
        <v>7.6876136239185482E-3</v>
      </c>
      <c r="U74" s="53">
        <v>2.2870350403747554E-4</v>
      </c>
      <c r="V74" s="53">
        <v>2.2820227937652104E-2</v>
      </c>
      <c r="W74" s="53">
        <v>0.79447833647214905</v>
      </c>
      <c r="X74" s="53">
        <v>0.1955014547502191</v>
      </c>
      <c r="Y74" s="53">
        <v>0.21744723060022958</v>
      </c>
      <c r="Z74" s="53">
        <v>0.47299999999999998</v>
      </c>
    </row>
    <row r="75" spans="1:26">
      <c r="A75" s="3" t="s">
        <v>272</v>
      </c>
      <c r="B75" s="3">
        <v>14</v>
      </c>
      <c r="C75" s="53">
        <v>6.5912499999999999E-2</v>
      </c>
      <c r="D75" s="53">
        <v>1.996018497543851E-2</v>
      </c>
      <c r="E75" s="53">
        <v>0.10989245466725754</v>
      </c>
      <c r="F75" s="53">
        <v>0.16882275980646591</v>
      </c>
      <c r="G75" s="54">
        <v>0.3479049214687408</v>
      </c>
      <c r="H75" s="54">
        <v>0.49360805956180459</v>
      </c>
      <c r="I75" s="53">
        <v>6.1505970739843013E-2</v>
      </c>
      <c r="J75" s="53">
        <v>0.25647926947712857</v>
      </c>
      <c r="K75" s="53">
        <v>5.0854999999999997E-2</v>
      </c>
      <c r="L75" s="53">
        <v>0.35830000000000001</v>
      </c>
      <c r="M75" s="53">
        <v>5.3133991745464119E-2</v>
      </c>
      <c r="N75" s="54">
        <v>4.7564463793562597</v>
      </c>
      <c r="O75" s="54">
        <v>0.41252131113329121</v>
      </c>
      <c r="P75" s="54">
        <v>6.3798048221013888</v>
      </c>
      <c r="Q75" s="54">
        <v>19.804920951092498</v>
      </c>
      <c r="R75" s="54">
        <v>2.903171334143174</v>
      </c>
      <c r="S75" s="54">
        <v>16.757683247241964</v>
      </c>
      <c r="T75" s="53">
        <v>-2.4323899281002599E-3</v>
      </c>
      <c r="U75" s="53">
        <v>1.1046969695747576E-3</v>
      </c>
      <c r="V75" s="53">
        <v>1.326060238245387E-2</v>
      </c>
      <c r="W75" s="53">
        <v>1.1428223096616057</v>
      </c>
      <c r="X75" s="53">
        <v>0.14777603490447422</v>
      </c>
      <c r="Y75" s="53">
        <v>0.36924015550657879</v>
      </c>
      <c r="Z75" s="53">
        <v>0.19620000000000001</v>
      </c>
    </row>
    <row r="76" spans="1:26">
      <c r="A76" s="3" t="s">
        <v>273</v>
      </c>
      <c r="B76" s="3">
        <v>28</v>
      </c>
      <c r="C76" s="53">
        <v>4.1101851851851841E-2</v>
      </c>
      <c r="D76" s="53">
        <v>0.35009033132520506</v>
      </c>
      <c r="E76" s="53">
        <v>4.458562834006221E-2</v>
      </c>
      <c r="F76" s="53">
        <v>2.5315356319942507E-2</v>
      </c>
      <c r="G76" s="54">
        <v>0.77769046555245314</v>
      </c>
      <c r="H76" s="54">
        <v>1.1208677660313939</v>
      </c>
      <c r="I76" s="53">
        <v>9.0359917237444118E-2</v>
      </c>
      <c r="J76" s="53">
        <v>0.20718002005434216</v>
      </c>
      <c r="K76" s="53">
        <v>4.5043E-2</v>
      </c>
      <c r="L76" s="53">
        <v>0.37040000000000001</v>
      </c>
      <c r="M76" s="53">
        <v>6.9402204719419811E-2</v>
      </c>
      <c r="N76" s="54">
        <v>0.13065981426778428</v>
      </c>
      <c r="O76" s="54">
        <v>12.151988991799444</v>
      </c>
      <c r="P76" s="54">
        <v>17.431873861346652</v>
      </c>
      <c r="Q76" s="54">
        <v>34.711010000762485</v>
      </c>
      <c r="R76" s="54">
        <v>1.9356719923817578</v>
      </c>
      <c r="S76" s="54">
        <v>74.090504225084899</v>
      </c>
      <c r="T76" s="53">
        <v>-9.8708986919809769E-2</v>
      </c>
      <c r="U76" s="53">
        <v>3.5451473830388706E-2</v>
      </c>
      <c r="V76" s="53">
        <v>-0.26525961554732042</v>
      </c>
      <c r="W76" s="53">
        <v>-0.81803643279498717</v>
      </c>
      <c r="X76" s="53">
        <v>6.523063162826355E-2</v>
      </c>
      <c r="Y76" s="53">
        <v>1.5557235045106812</v>
      </c>
      <c r="Z76" s="53">
        <v>3.56E-2</v>
      </c>
    </row>
    <row r="77" spans="1:26">
      <c r="A77" s="3" t="s">
        <v>274</v>
      </c>
      <c r="B77" s="3">
        <v>105</v>
      </c>
      <c r="C77" s="53">
        <v>0.12071967741935487</v>
      </c>
      <c r="D77" s="53">
        <v>4.7839737029024824E-2</v>
      </c>
      <c r="E77" s="53">
        <v>0.13499345989584943</v>
      </c>
      <c r="F77" s="53">
        <v>9.5347378879633765E-2</v>
      </c>
      <c r="G77" s="54">
        <v>0.92941330150933732</v>
      </c>
      <c r="H77" s="54">
        <v>1.1814057462278666</v>
      </c>
      <c r="I77" s="53">
        <v>9.3144664326481857E-2</v>
      </c>
      <c r="J77" s="53">
        <v>0.44007853687551313</v>
      </c>
      <c r="K77" s="53">
        <v>5.0854999999999997E-2</v>
      </c>
      <c r="L77" s="53">
        <v>0.26550000000000001</v>
      </c>
      <c r="M77" s="53">
        <v>7.8540155092339942E-2</v>
      </c>
      <c r="N77" s="54">
        <v>3.1090000638677036</v>
      </c>
      <c r="O77" s="54">
        <v>0.98357084492498503</v>
      </c>
      <c r="P77" s="54">
        <v>9.3415485589048952</v>
      </c>
      <c r="Q77" s="54">
        <v>20.317569846397642</v>
      </c>
      <c r="R77" s="54">
        <v>4.7786065628780694</v>
      </c>
      <c r="S77" s="54">
        <v>48.788376528460567</v>
      </c>
      <c r="T77" s="53">
        <v>5.0599261894710514E-2</v>
      </c>
      <c r="U77" s="53">
        <v>5.0425815744955832E-4</v>
      </c>
      <c r="V77" s="53">
        <v>2.6622349307585433E-2</v>
      </c>
      <c r="W77" s="53">
        <v>0.55230156249920015</v>
      </c>
      <c r="X77" s="53">
        <v>9.6438784183108986E-2</v>
      </c>
      <c r="Y77" s="53">
        <v>0.8704265485497078</v>
      </c>
      <c r="Z77" s="53">
        <v>0.27029999999999998</v>
      </c>
    </row>
    <row r="78" spans="1:26">
      <c r="A78" s="3" t="s">
        <v>275</v>
      </c>
      <c r="B78" s="3">
        <v>3</v>
      </c>
      <c r="C78" s="53">
        <v>9.0200000000000002E-2</v>
      </c>
      <c r="D78" s="53">
        <v>2.1019124368608658E-2</v>
      </c>
      <c r="E78" s="53">
        <v>3.124092719979871E-2</v>
      </c>
      <c r="F78" s="53">
        <v>0</v>
      </c>
      <c r="G78" s="54">
        <v>0.24398552809377427</v>
      </c>
      <c r="H78" s="54">
        <v>0.67451976956750803</v>
      </c>
      <c r="I78" s="53">
        <v>6.9827909400105373E-2</v>
      </c>
      <c r="J78" s="53">
        <v>0.40772526552560179</v>
      </c>
      <c r="K78" s="53">
        <v>5.0854999999999997E-2</v>
      </c>
      <c r="L78" s="53">
        <v>0.70169999999999999</v>
      </c>
      <c r="M78" s="53">
        <v>4.7592095498583793E-2</v>
      </c>
      <c r="N78" s="54">
        <v>1.4484047693844369</v>
      </c>
      <c r="O78" s="54">
        <v>0.62828691748081245</v>
      </c>
      <c r="P78" s="54">
        <v>7.9475865714228098</v>
      </c>
      <c r="Q78" s="54">
        <v>29.777572649378406</v>
      </c>
      <c r="R78" s="54">
        <v>0.78946449471402003</v>
      </c>
      <c r="S78" s="54" t="s">
        <v>584</v>
      </c>
      <c r="T78" s="53">
        <v>0.10694212196535768</v>
      </c>
      <c r="U78" s="53">
        <v>-5.3268306017885516E-3</v>
      </c>
      <c r="V78" s="53">
        <v>7.0628985193991103E-3</v>
      </c>
      <c r="W78" s="53">
        <v>-0.32002680606024081</v>
      </c>
      <c r="X78" s="53">
        <v>-9.9980552314274607E-2</v>
      </c>
      <c r="Y78" s="53" t="e">
        <v>#DIV/0!</v>
      </c>
      <c r="Z78" s="53">
        <v>2.9499999999999998E-2</v>
      </c>
    </row>
    <row r="79" spans="1:26">
      <c r="A79" s="3" t="s">
        <v>276</v>
      </c>
      <c r="B79" s="3">
        <v>63</v>
      </c>
      <c r="C79" s="53">
        <v>6.4411627906976743E-2</v>
      </c>
      <c r="D79" s="53">
        <v>0.19724319548927027</v>
      </c>
      <c r="E79" s="53">
        <v>0.11368358391768708</v>
      </c>
      <c r="F79" s="53">
        <v>4.8865843574454025E-2</v>
      </c>
      <c r="G79" s="54">
        <v>1.4303862229362374</v>
      </c>
      <c r="H79" s="54">
        <v>1.4952411850835359</v>
      </c>
      <c r="I79" s="53">
        <v>0.10758109451384265</v>
      </c>
      <c r="J79" s="53">
        <v>0.4147143445700453</v>
      </c>
      <c r="K79" s="53">
        <v>5.0854999999999997E-2</v>
      </c>
      <c r="L79" s="53">
        <v>5.7000000000000002E-2</v>
      </c>
      <c r="M79" s="53">
        <v>0.10362246070915908</v>
      </c>
      <c r="N79" s="54">
        <v>0.58072920923018134</v>
      </c>
      <c r="O79" s="54">
        <v>10.596722932093094</v>
      </c>
      <c r="P79" s="54">
        <v>31.594447138361602</v>
      </c>
      <c r="Q79" s="54">
        <v>53.315004182229046</v>
      </c>
      <c r="R79" s="54">
        <v>7.38179145503603</v>
      </c>
      <c r="S79" s="54">
        <v>82.75051639049542</v>
      </c>
      <c r="T79" s="53">
        <v>0.22403022878237655</v>
      </c>
      <c r="U79" s="53">
        <v>0.1606080271258418</v>
      </c>
      <c r="V79" s="53">
        <v>6.8986975778472778E-2</v>
      </c>
      <c r="W79" s="53">
        <v>0.49863224477303802</v>
      </c>
      <c r="X79" s="53">
        <v>0.12611876313091647</v>
      </c>
      <c r="Y79" s="53">
        <v>0.48873979408723345</v>
      </c>
      <c r="Z79" s="53">
        <v>0.39729999999999999</v>
      </c>
    </row>
    <row r="80" spans="1:26">
      <c r="A80" s="3" t="s">
        <v>277</v>
      </c>
      <c r="B80" s="3">
        <v>30</v>
      </c>
      <c r="C80" s="53">
        <v>9.9257499999999985E-2</v>
      </c>
      <c r="D80" s="53">
        <v>0.24338040394069302</v>
      </c>
      <c r="E80" s="53">
        <v>0.25683632466511935</v>
      </c>
      <c r="F80" s="53">
        <v>0.12141951160150626</v>
      </c>
      <c r="G80" s="54">
        <v>1.4437617465028647</v>
      </c>
      <c r="H80" s="54">
        <v>1.5279822074255314</v>
      </c>
      <c r="I80" s="53">
        <v>0.10908718154157444</v>
      </c>
      <c r="J80" s="53">
        <v>0.37040142988651292</v>
      </c>
      <c r="K80" s="53">
        <v>5.0854999999999997E-2</v>
      </c>
      <c r="L80" s="53">
        <v>7.22E-2</v>
      </c>
      <c r="M80" s="53">
        <v>0.10396731419447477</v>
      </c>
      <c r="N80" s="54">
        <v>1.1649954029158387</v>
      </c>
      <c r="O80" s="54">
        <v>5.2442581732157283</v>
      </c>
      <c r="P80" s="54">
        <v>18.178195157648474</v>
      </c>
      <c r="Q80" s="54">
        <v>21.529732735448246</v>
      </c>
      <c r="R80" s="54">
        <v>8.1009758909034115</v>
      </c>
      <c r="S80" s="54">
        <v>163.51842013025154</v>
      </c>
      <c r="T80" s="53">
        <v>0.34562808268522127</v>
      </c>
      <c r="U80" s="53">
        <v>1.1627942992143444E-2</v>
      </c>
      <c r="V80" s="53">
        <v>2.6035463292282256E-2</v>
      </c>
      <c r="W80" s="53">
        <v>0.13881169088914808</v>
      </c>
      <c r="X80" s="53">
        <v>0.3289066823779071</v>
      </c>
      <c r="Y80" s="53">
        <v>0.20089988720666727</v>
      </c>
      <c r="Z80" s="53">
        <v>0.60150000000000003</v>
      </c>
    </row>
    <row r="81" spans="1:26">
      <c r="A81" s="3" t="s">
        <v>278</v>
      </c>
      <c r="B81" s="3">
        <v>8</v>
      </c>
      <c r="C81" s="53">
        <v>-6.8033333333333348E-3</v>
      </c>
      <c r="D81" s="53">
        <v>0.11940027650657051</v>
      </c>
      <c r="E81" s="53">
        <v>9.2351394997663441E-2</v>
      </c>
      <c r="F81" s="53">
        <v>6.7377894541316763E-2</v>
      </c>
      <c r="G81" s="54">
        <v>0.66282973364780495</v>
      </c>
      <c r="H81" s="54">
        <v>0.81083614181090768</v>
      </c>
      <c r="I81" s="53">
        <v>7.6098462523301755E-2</v>
      </c>
      <c r="J81" s="53">
        <v>0.45074724706930092</v>
      </c>
      <c r="K81" s="53">
        <v>5.0854999999999997E-2</v>
      </c>
      <c r="L81" s="53">
        <v>0.22939999999999999</v>
      </c>
      <c r="M81" s="53">
        <v>6.7390261173218224E-2</v>
      </c>
      <c r="N81" s="54">
        <v>0.82933963708877079</v>
      </c>
      <c r="O81" s="54">
        <v>1.7047396816839095</v>
      </c>
      <c r="P81" s="54">
        <v>8.384720595362964</v>
      </c>
      <c r="Q81" s="54">
        <v>14.228088437354392</v>
      </c>
      <c r="R81" s="54">
        <v>1.3642629613319885</v>
      </c>
      <c r="S81" s="54">
        <v>24.757087703228514</v>
      </c>
      <c r="T81" s="53">
        <v>0.11299865486721869</v>
      </c>
      <c r="U81" s="53">
        <v>7.1007492284571178E-2</v>
      </c>
      <c r="V81" s="53">
        <v>4.0299197608605203E-2</v>
      </c>
      <c r="W81" s="53">
        <v>0.50270712026329756</v>
      </c>
      <c r="X81" s="53">
        <v>7.817317702121597E-2</v>
      </c>
      <c r="Y81" s="53">
        <v>0.29337528524998274</v>
      </c>
      <c r="Z81" s="53">
        <v>2.69E-2</v>
      </c>
    </row>
    <row r="82" spans="1:26">
      <c r="A82" s="3" t="s">
        <v>279</v>
      </c>
      <c r="B82" s="3">
        <v>13</v>
      </c>
      <c r="C82" s="53">
        <v>0.11491250000000001</v>
      </c>
      <c r="D82" s="53">
        <v>0.12174318911420734</v>
      </c>
      <c r="E82" s="53">
        <v>0.24043080830071734</v>
      </c>
      <c r="F82" s="53">
        <v>0.11308691110175229</v>
      </c>
      <c r="G82" s="54">
        <v>1.2123872841015533</v>
      </c>
      <c r="H82" s="54">
        <v>1.2915789442240697</v>
      </c>
      <c r="I82" s="53">
        <v>9.821263143430721E-2</v>
      </c>
      <c r="J82" s="53">
        <v>0.36279908890119261</v>
      </c>
      <c r="K82" s="53">
        <v>5.0854999999999997E-2</v>
      </c>
      <c r="L82" s="53">
        <v>8.0100000000000005E-2</v>
      </c>
      <c r="M82" s="53">
        <v>9.3400048272720249E-2</v>
      </c>
      <c r="N82" s="54">
        <v>2.2253944893651223</v>
      </c>
      <c r="O82" s="54">
        <v>2.8863044842694969</v>
      </c>
      <c r="P82" s="54">
        <v>18.953733947779405</v>
      </c>
      <c r="Q82" s="54">
        <v>23.682872304836216</v>
      </c>
      <c r="R82" s="54">
        <v>8.7107690650024558</v>
      </c>
      <c r="S82" s="54">
        <v>19.768872194714948</v>
      </c>
      <c r="T82" s="53">
        <v>0.19614445731942837</v>
      </c>
      <c r="U82" s="53">
        <v>-2.1254624249029949E-2</v>
      </c>
      <c r="V82" s="53">
        <v>-5.2012497930805967E-3</v>
      </c>
      <c r="W82" s="53">
        <v>-0.20182594713277416</v>
      </c>
      <c r="X82" s="53">
        <v>0.29903214866474775</v>
      </c>
      <c r="Y82" s="53">
        <v>0.32261310697398488</v>
      </c>
      <c r="Z82" s="53">
        <v>0.24390000000000001</v>
      </c>
    </row>
    <row r="83" spans="1:26">
      <c r="A83" s="3" t="s">
        <v>280</v>
      </c>
      <c r="B83" s="3">
        <v>84</v>
      </c>
      <c r="C83" s="53">
        <v>0.17412533333333333</v>
      </c>
      <c r="D83" s="53">
        <v>0.26501387059899334</v>
      </c>
      <c r="E83" s="53">
        <v>0.19944873406255512</v>
      </c>
      <c r="F83" s="53">
        <v>5.1117470447885394E-2</v>
      </c>
      <c r="G83" s="54">
        <v>1.0827308027863589</v>
      </c>
      <c r="H83" s="54">
        <v>1.1083305740238332</v>
      </c>
      <c r="I83" s="53">
        <v>8.9783206405096322E-2</v>
      </c>
      <c r="J83" s="53">
        <v>0.52789322078229139</v>
      </c>
      <c r="K83" s="53">
        <v>5.3524000000000002E-2</v>
      </c>
      <c r="L83" s="53">
        <v>3.0599999999999999E-2</v>
      </c>
      <c r="M83" s="53">
        <v>8.8266127488506013E-2</v>
      </c>
      <c r="N83" s="54">
        <v>0.74384849848531331</v>
      </c>
      <c r="O83" s="54">
        <v>6.0250177191083116</v>
      </c>
      <c r="P83" s="54">
        <v>17.157815859353224</v>
      </c>
      <c r="Q83" s="54">
        <v>22.221744412094619</v>
      </c>
      <c r="R83" s="54">
        <v>6.2430547316243272</v>
      </c>
      <c r="S83" s="54">
        <v>30.818070198150206</v>
      </c>
      <c r="T83" s="53">
        <v>4.7763247678820571E-2</v>
      </c>
      <c r="U83" s="53">
        <v>9.9365057264658149E-2</v>
      </c>
      <c r="V83" s="53">
        <v>8.7039144070400018E-2</v>
      </c>
      <c r="W83" s="53">
        <v>0.46794430766934031</v>
      </c>
      <c r="X83" s="53">
        <v>0.2325593855621183</v>
      </c>
      <c r="Y83" s="53">
        <v>2.5063968697220758E-3</v>
      </c>
      <c r="Z83" s="53">
        <v>0.1118</v>
      </c>
    </row>
    <row r="84" spans="1:26">
      <c r="A84" s="3" t="s">
        <v>281</v>
      </c>
      <c r="B84" s="3">
        <v>35</v>
      </c>
      <c r="C84" s="53">
        <v>0.22244545454545456</v>
      </c>
      <c r="D84" s="53">
        <v>-2.8960290149232241E-2</v>
      </c>
      <c r="E84" s="53">
        <v>-4.8109532624457758E-3</v>
      </c>
      <c r="F84" s="53">
        <v>2.6055760534544135E-2</v>
      </c>
      <c r="G84" s="54">
        <v>1.4828462085704464</v>
      </c>
      <c r="H84" s="54">
        <v>1.6160843271745926</v>
      </c>
      <c r="I84" s="53">
        <v>0.11313987905003126</v>
      </c>
      <c r="J84" s="53">
        <v>0.65221602599035</v>
      </c>
      <c r="K84" s="53">
        <v>6.0879000000000003E-2</v>
      </c>
      <c r="L84" s="53">
        <v>0.107</v>
      </c>
      <c r="M84" s="53">
        <v>0.10592036033474574</v>
      </c>
      <c r="N84" s="54">
        <v>0.63612335565638134</v>
      </c>
      <c r="O84" s="54">
        <v>8.3828736851725534</v>
      </c>
      <c r="P84" s="54">
        <v>19.329878727497675</v>
      </c>
      <c r="Q84" s="54" t="s">
        <v>584</v>
      </c>
      <c r="R84" s="54">
        <v>9.0021141302291596</v>
      </c>
      <c r="S84" s="54">
        <v>35.177442964143594</v>
      </c>
      <c r="T84" s="53">
        <v>9.6695754393934422E-2</v>
      </c>
      <c r="U84" s="53">
        <v>6.9501945918625185E-2</v>
      </c>
      <c r="V84" s="53">
        <v>2.8310083379424048E-2</v>
      </c>
      <c r="W84" s="53" t="s">
        <v>584</v>
      </c>
      <c r="X84" s="53">
        <v>-0.14540651129197349</v>
      </c>
      <c r="Y84" s="53">
        <v>0</v>
      </c>
      <c r="Z84" s="53">
        <v>1.29E-2</v>
      </c>
    </row>
    <row r="85" spans="1:26">
      <c r="A85" s="3" t="s">
        <v>282</v>
      </c>
      <c r="B85" s="3">
        <v>351</v>
      </c>
      <c r="C85" s="53">
        <v>0.15903337837837828</v>
      </c>
      <c r="D85" s="53">
        <v>0.25342088351580655</v>
      </c>
      <c r="E85" s="53">
        <v>0.23224389866710615</v>
      </c>
      <c r="F85" s="53">
        <v>4.1899256824647825E-2</v>
      </c>
      <c r="G85" s="54">
        <v>1.2364359766677997</v>
      </c>
      <c r="H85" s="54">
        <v>1.2939647291542515</v>
      </c>
      <c r="I85" s="53">
        <v>9.8322377541095574E-2</v>
      </c>
      <c r="J85" s="53">
        <v>0.52086489824807281</v>
      </c>
      <c r="K85" s="53">
        <v>5.3524000000000002E-2</v>
      </c>
      <c r="L85" s="53">
        <v>5.8400000000000001E-2</v>
      </c>
      <c r="M85" s="53">
        <v>9.4923923441195657E-2</v>
      </c>
      <c r="N85" s="54">
        <v>0.920355645703261</v>
      </c>
      <c r="O85" s="54">
        <v>10.72155166283089</v>
      </c>
      <c r="P85" s="54">
        <v>28.433138742544646</v>
      </c>
      <c r="Q85" s="54">
        <v>39.481990904188763</v>
      </c>
      <c r="R85" s="54">
        <v>11.028707841031288</v>
      </c>
      <c r="S85" s="54">
        <v>88.724572948822384</v>
      </c>
      <c r="T85" s="53">
        <v>0.11204452658660199</v>
      </c>
      <c r="U85" s="53">
        <v>5.5987028224454942E-2</v>
      </c>
      <c r="V85" s="53">
        <v>5.9162106791780016E-2</v>
      </c>
      <c r="W85" s="53">
        <v>0.36380231425923271</v>
      </c>
      <c r="X85" s="53">
        <v>0.24441835382299518</v>
      </c>
      <c r="Y85" s="53">
        <v>0.27220590606666156</v>
      </c>
      <c r="Z85" s="53">
        <v>0.55989999999999995</v>
      </c>
    </row>
    <row r="86" spans="1:26">
      <c r="A86" s="3" t="s">
        <v>283</v>
      </c>
      <c r="B86" s="3">
        <v>29</v>
      </c>
      <c r="C86" s="53">
        <v>7.8733200000000003E-2</v>
      </c>
      <c r="D86" s="53">
        <v>0.12144443633643207</v>
      </c>
      <c r="E86" s="53">
        <v>0.22180836333570431</v>
      </c>
      <c r="F86" s="53">
        <v>0.15721765690237771</v>
      </c>
      <c r="G86" s="54">
        <v>0.97827881248335802</v>
      </c>
      <c r="H86" s="54">
        <v>1.126371725263511</v>
      </c>
      <c r="I86" s="53">
        <v>9.0613099362121502E-2</v>
      </c>
      <c r="J86" s="53">
        <v>0.38102205031992209</v>
      </c>
      <c r="K86" s="53">
        <v>5.0854999999999997E-2</v>
      </c>
      <c r="L86" s="53">
        <v>0.16789999999999999</v>
      </c>
      <c r="M86" s="53">
        <v>8.1800793633772059E-2</v>
      </c>
      <c r="N86" s="54">
        <v>2.1668462373578015</v>
      </c>
      <c r="O86" s="54">
        <v>0.94134699426736168</v>
      </c>
      <c r="P86" s="54">
        <v>5.9315455318515609</v>
      </c>
      <c r="Q86" s="54">
        <v>7.7262015562222341</v>
      </c>
      <c r="R86" s="54">
        <v>1.7639737558457758</v>
      </c>
      <c r="S86" s="54">
        <v>14.541699757518971</v>
      </c>
      <c r="T86" s="53">
        <v>0.19023869959969508</v>
      </c>
      <c r="U86" s="53">
        <v>5.5734411806729507E-2</v>
      </c>
      <c r="V86" s="53">
        <v>4.2105106814159125E-2</v>
      </c>
      <c r="W86" s="53">
        <v>0.15698783414294129</v>
      </c>
      <c r="X86" s="53">
        <v>0.22194709191501236</v>
      </c>
      <c r="Y86" s="53">
        <v>0.12471207785733139</v>
      </c>
      <c r="Z86" s="53">
        <v>9.9000000000000008E-3</v>
      </c>
    </row>
    <row r="87" spans="1:26">
      <c r="A87" s="3" t="s">
        <v>284</v>
      </c>
      <c r="B87" s="3">
        <v>13</v>
      </c>
      <c r="C87" s="53">
        <v>9.2977142857142869E-2</v>
      </c>
      <c r="D87" s="53">
        <v>0.14946263752117678</v>
      </c>
      <c r="E87" s="53">
        <v>6.5483784250289209E-2</v>
      </c>
      <c r="F87" s="53">
        <v>9.5647035061602784E-2</v>
      </c>
      <c r="G87" s="54">
        <v>0.73410341487174247</v>
      </c>
      <c r="H87" s="54">
        <v>1.087361359035153</v>
      </c>
      <c r="I87" s="53">
        <v>8.8818622515617035E-2</v>
      </c>
      <c r="J87" s="53">
        <v>0.60305869412683921</v>
      </c>
      <c r="K87" s="53">
        <v>5.3524000000000002E-2</v>
      </c>
      <c r="L87" s="53">
        <v>0.39079999999999998</v>
      </c>
      <c r="M87" s="53">
        <v>6.9794087365599694E-2</v>
      </c>
      <c r="N87" s="54">
        <v>0.48441213485617451</v>
      </c>
      <c r="O87" s="54">
        <v>3.5147101609842721</v>
      </c>
      <c r="P87" s="54">
        <v>9.0095138936051899</v>
      </c>
      <c r="Q87" s="54">
        <v>23.512660928635778</v>
      </c>
      <c r="R87" s="54">
        <v>2.5322480033466408</v>
      </c>
      <c r="S87" s="54">
        <v>67.853832930042557</v>
      </c>
      <c r="T87" s="53">
        <v>6.2680578629146194E-2</v>
      </c>
      <c r="U87" s="53">
        <v>3.5152271971679153E-2</v>
      </c>
      <c r="V87" s="53">
        <v>-2.9960671300220164E-3</v>
      </c>
      <c r="W87" s="53">
        <v>0.5510450483030811</v>
      </c>
      <c r="X87" s="53">
        <v>9.7395977513905455E-2</v>
      </c>
      <c r="Y87" s="53">
        <v>0.1104528008925427</v>
      </c>
      <c r="Z87" s="53">
        <v>2E-3</v>
      </c>
    </row>
    <row r="88" spans="1:26">
      <c r="A88" s="3" t="s">
        <v>285</v>
      </c>
      <c r="B88" s="3">
        <v>66</v>
      </c>
      <c r="C88" s="53">
        <v>9.6164489795918393E-2</v>
      </c>
      <c r="D88" s="53">
        <v>0.19835762834581644</v>
      </c>
      <c r="E88" s="53">
        <v>0.28182161892742891</v>
      </c>
      <c r="F88" s="53">
        <v>6.1986014900528949E-2</v>
      </c>
      <c r="G88" s="54">
        <v>0.99530050392662051</v>
      </c>
      <c r="H88" s="54">
        <v>1.0805072059156025</v>
      </c>
      <c r="I88" s="53">
        <v>8.8503331472117711E-2</v>
      </c>
      <c r="J88" s="53">
        <v>0.46622145090064521</v>
      </c>
      <c r="K88" s="53">
        <v>5.0854999999999997E-2</v>
      </c>
      <c r="L88" s="53">
        <v>0.10249999999999999</v>
      </c>
      <c r="M88" s="53">
        <v>8.3343683367302981E-2</v>
      </c>
      <c r="N88" s="54">
        <v>1.4464269754607526</v>
      </c>
      <c r="O88" s="54">
        <v>3.6067814997742809</v>
      </c>
      <c r="P88" s="54">
        <v>13.979069158223247</v>
      </c>
      <c r="Q88" s="54">
        <v>17.645248189217565</v>
      </c>
      <c r="R88" s="54">
        <v>5.1449679404665405</v>
      </c>
      <c r="S88" s="54">
        <v>70.491276901112826</v>
      </c>
      <c r="T88" s="53">
        <v>0.23092380701323104</v>
      </c>
      <c r="U88" s="53">
        <v>3.3473393450261651E-2</v>
      </c>
      <c r="V88" s="53">
        <v>3.9799623411255383E-2</v>
      </c>
      <c r="W88" s="53">
        <v>0.36669384113949066</v>
      </c>
      <c r="X88" s="53">
        <v>0.24550541459231559</v>
      </c>
      <c r="Y88" s="53">
        <v>0.46084832909856577</v>
      </c>
      <c r="Z88" s="53">
        <v>0.48159999999999997</v>
      </c>
    </row>
    <row r="89" spans="1:26">
      <c r="A89" s="3" t="s">
        <v>286</v>
      </c>
      <c r="B89" s="3">
        <v>42</v>
      </c>
      <c r="C89" s="53">
        <v>0.13169956521739129</v>
      </c>
      <c r="D89" s="53">
        <v>0.20983538034393459</v>
      </c>
      <c r="E89" s="53">
        <v>0.11796482606061286</v>
      </c>
      <c r="F89" s="53">
        <v>6.6167707840687123E-2</v>
      </c>
      <c r="G89" s="54">
        <v>0.40504194381693037</v>
      </c>
      <c r="H89" s="54">
        <v>0.78450471128722188</v>
      </c>
      <c r="I89" s="53">
        <v>7.488721671921221E-2</v>
      </c>
      <c r="J89" s="53">
        <v>0.50416714350221437</v>
      </c>
      <c r="K89" s="53">
        <v>5.3524000000000002E-2</v>
      </c>
      <c r="L89" s="53">
        <v>0.5554</v>
      </c>
      <c r="M89" s="53">
        <v>5.5590841951559611E-2</v>
      </c>
      <c r="N89" s="54">
        <v>0.60200337910623192</v>
      </c>
      <c r="O89" s="54">
        <v>2.3574881101650598</v>
      </c>
      <c r="P89" s="54">
        <v>6.178012041794295</v>
      </c>
      <c r="Q89" s="54">
        <v>11.212869716340027</v>
      </c>
      <c r="R89" s="54">
        <v>1.2986532244972615</v>
      </c>
      <c r="S89" s="54">
        <v>77.102401245701245</v>
      </c>
      <c r="T89" s="53">
        <v>-3.2235361652479422E-2</v>
      </c>
      <c r="U89" s="53">
        <v>-2.3647204248838035E-2</v>
      </c>
      <c r="V89" s="53">
        <v>2.4292121675182632E-2</v>
      </c>
      <c r="W89" s="53">
        <v>0.20122305244722491</v>
      </c>
      <c r="X89" s="53">
        <v>-3.4470942023052953E-3</v>
      </c>
      <c r="Y89" s="53">
        <v>1.6337690728598522E-3</v>
      </c>
      <c r="Z89" s="53">
        <v>1.2464</v>
      </c>
    </row>
    <row r="90" spans="1:26">
      <c r="A90" s="3" t="s">
        <v>287</v>
      </c>
      <c r="B90" s="3">
        <v>16</v>
      </c>
      <c r="C90" s="53">
        <v>0.34968888888888894</v>
      </c>
      <c r="D90" s="53">
        <v>0.40974371518073172</v>
      </c>
      <c r="E90" s="53">
        <v>0.80360559936791442</v>
      </c>
      <c r="F90" s="53">
        <v>9.9528549065057051E-2</v>
      </c>
      <c r="G90" s="54">
        <v>0.96949770844373462</v>
      </c>
      <c r="H90" s="54">
        <v>1.2232908278447494</v>
      </c>
      <c r="I90" s="53">
        <v>9.5071378080858471E-2</v>
      </c>
      <c r="J90" s="53">
        <v>0.4800026780389306</v>
      </c>
      <c r="K90" s="53">
        <v>5.0854999999999997E-2</v>
      </c>
      <c r="L90" s="53">
        <v>0.25869999999999999</v>
      </c>
      <c r="M90" s="53">
        <v>8.0341810114891568E-2</v>
      </c>
      <c r="N90" s="54">
        <v>2.1763696274457001</v>
      </c>
      <c r="O90" s="54">
        <v>4.7953049451194598</v>
      </c>
      <c r="P90" s="54">
        <v>10.84266449583115</v>
      </c>
      <c r="Q90" s="54">
        <v>11.674129778938338</v>
      </c>
      <c r="R90" s="54" t="s">
        <v>584</v>
      </c>
      <c r="S90" s="54">
        <v>17.746085416091766</v>
      </c>
      <c r="T90" s="53">
        <v>0.15300181101471985</v>
      </c>
      <c r="U90" s="53">
        <v>1.238721827891767E-2</v>
      </c>
      <c r="V90" s="53">
        <v>0.33428394436606595</v>
      </c>
      <c r="W90" s="53">
        <v>1.17639869037906</v>
      </c>
      <c r="X90" s="53" t="s">
        <v>584</v>
      </c>
      <c r="Y90" s="53">
        <v>0.87984059610405407</v>
      </c>
      <c r="Z90" s="53">
        <v>0.77990000000000004</v>
      </c>
    </row>
    <row r="91" spans="1:26">
      <c r="A91" s="3" t="s">
        <v>288</v>
      </c>
      <c r="B91" s="3">
        <v>110</v>
      </c>
      <c r="C91" s="53">
        <v>7.3925853658536572E-2</v>
      </c>
      <c r="D91" s="53">
        <v>8.4952959674422276E-2</v>
      </c>
      <c r="E91" s="53">
        <v>0.16088390207704553</v>
      </c>
      <c r="F91" s="53">
        <v>6.987537743227136E-2</v>
      </c>
      <c r="G91" s="54">
        <v>0.81033785567634131</v>
      </c>
      <c r="H91" s="54">
        <v>0.99780729032089066</v>
      </c>
      <c r="I91" s="53">
        <v>8.4699135354760979E-2</v>
      </c>
      <c r="J91" s="53">
        <v>0.5620392839791557</v>
      </c>
      <c r="K91" s="53">
        <v>5.3524000000000002E-2</v>
      </c>
      <c r="L91" s="53">
        <v>0.23569999999999999</v>
      </c>
      <c r="M91" s="53">
        <v>7.4195269988247284E-2</v>
      </c>
      <c r="N91" s="54">
        <v>2.0142048675663617</v>
      </c>
      <c r="O91" s="54">
        <v>1.8733601251795011</v>
      </c>
      <c r="P91" s="54">
        <v>12.825656312770354</v>
      </c>
      <c r="Q91" s="54">
        <v>21.70709502050369</v>
      </c>
      <c r="R91" s="54">
        <v>5.3511884203819298</v>
      </c>
      <c r="S91" s="54">
        <v>26.994751512111506</v>
      </c>
      <c r="T91" s="53">
        <v>7.7146823442012111E-2</v>
      </c>
      <c r="U91" s="53">
        <v>2.2628756627930156E-2</v>
      </c>
      <c r="V91" s="53">
        <v>4.7919479861607203E-2</v>
      </c>
      <c r="W91" s="53">
        <v>0.72064765595835767</v>
      </c>
      <c r="X91" s="53">
        <v>0.22056294610433705</v>
      </c>
      <c r="Y91" s="53">
        <v>1.0930209138910143</v>
      </c>
      <c r="Z91" s="53">
        <v>0.52559999999999996</v>
      </c>
    </row>
    <row r="92" spans="1:26">
      <c r="A92" s="3" t="s">
        <v>289</v>
      </c>
      <c r="B92" s="3">
        <v>4</v>
      </c>
      <c r="C92" s="53">
        <v>2.4899999999999999E-2</v>
      </c>
      <c r="D92" s="53">
        <v>0.34954738832459115</v>
      </c>
      <c r="E92" s="53">
        <v>0.14261953361631199</v>
      </c>
      <c r="F92" s="53">
        <v>0.17280266163132788</v>
      </c>
      <c r="G92" s="54">
        <v>0.84696313530719947</v>
      </c>
      <c r="H92" s="54">
        <v>1.0172723923008653</v>
      </c>
      <c r="I92" s="53">
        <v>8.5594530045839806E-2</v>
      </c>
      <c r="J92" s="53">
        <v>0.2227735820416239</v>
      </c>
      <c r="K92" s="53">
        <v>4.5043E-2</v>
      </c>
      <c r="L92" s="53">
        <v>0.2114</v>
      </c>
      <c r="M92" s="53">
        <v>7.464013567456193E-2</v>
      </c>
      <c r="N92" s="54">
        <v>0.49324628388749064</v>
      </c>
      <c r="O92" s="54">
        <v>6.6295596972904312</v>
      </c>
      <c r="P92" s="54">
        <v>14.3196804838998</v>
      </c>
      <c r="Q92" s="54">
        <v>18.966125677741278</v>
      </c>
      <c r="R92" s="54">
        <v>6.9113810829422233</v>
      </c>
      <c r="S92" s="54">
        <v>22.28825335650561</v>
      </c>
      <c r="T92" s="53">
        <v>2.2557471822586217E-2</v>
      </c>
      <c r="U92" s="53">
        <v>4.4470443723626116E-2</v>
      </c>
      <c r="V92" s="53">
        <v>5.5988647445286678E-2</v>
      </c>
      <c r="W92" s="53">
        <v>0.22178443078565843</v>
      </c>
      <c r="X92" s="53">
        <v>0.31677945078582531</v>
      </c>
      <c r="Y92" s="53">
        <v>0.43519528152260112</v>
      </c>
      <c r="Z92" s="53">
        <v>0.40550000000000003</v>
      </c>
    </row>
    <row r="93" spans="1:26">
      <c r="A93" s="3" t="s">
        <v>290</v>
      </c>
      <c r="B93" s="3">
        <v>22</v>
      </c>
      <c r="C93" s="53">
        <v>6.1907222222222238E-2</v>
      </c>
      <c r="D93" s="53">
        <v>8.7662475886066932E-2</v>
      </c>
      <c r="E93" s="53">
        <v>0.12748742307030905</v>
      </c>
      <c r="F93" s="53">
        <v>0.20207990873604598</v>
      </c>
      <c r="G93" s="54">
        <v>0.99893740752344029</v>
      </c>
      <c r="H93" s="54">
        <v>1.1484074577647394</v>
      </c>
      <c r="I93" s="53">
        <v>9.1626743057178023E-2</v>
      </c>
      <c r="J93" s="53">
        <v>0.28328548955431604</v>
      </c>
      <c r="K93" s="53">
        <v>5.0854999999999997E-2</v>
      </c>
      <c r="L93" s="53">
        <v>0.1663</v>
      </c>
      <c r="M93" s="53">
        <v>8.2730872821277085E-2</v>
      </c>
      <c r="N93" s="54">
        <v>1.8424099749470806</v>
      </c>
      <c r="O93" s="54">
        <v>1.8055802361025481</v>
      </c>
      <c r="P93" s="54">
        <v>10.57224029827716</v>
      </c>
      <c r="Q93" s="54">
        <v>20.589002549993637</v>
      </c>
      <c r="R93" s="54">
        <v>3.5846942504030093</v>
      </c>
      <c r="S93" s="54">
        <v>36.07946277619434</v>
      </c>
      <c r="T93" s="53">
        <v>6.7480207496526626E-2</v>
      </c>
      <c r="U93" s="53">
        <v>-8.6707710315732031E-2</v>
      </c>
      <c r="V93" s="53">
        <v>9.0980370277753131E-2</v>
      </c>
      <c r="W93" s="53">
        <v>1.2178075170479361</v>
      </c>
      <c r="X93" s="53">
        <v>0.12974692001389668</v>
      </c>
      <c r="Y93" s="53">
        <v>0.17362718846549949</v>
      </c>
      <c r="Z93" s="53">
        <v>0.107</v>
      </c>
    </row>
    <row r="94" spans="1:26">
      <c r="A94" s="3" t="s">
        <v>291</v>
      </c>
      <c r="B94" s="3">
        <v>14</v>
      </c>
      <c r="C94" s="53">
        <v>4.3404999999999999E-2</v>
      </c>
      <c r="D94" s="53">
        <v>0.21641469675660061</v>
      </c>
      <c r="E94" s="53">
        <v>6.4731399544339846E-2</v>
      </c>
      <c r="F94" s="53">
        <v>0.1405010662826639</v>
      </c>
      <c r="G94" s="54">
        <v>0.35473049718815236</v>
      </c>
      <c r="H94" s="54">
        <v>0.58043230816873881</v>
      </c>
      <c r="I94" s="53">
        <v>6.5499886175761982E-2</v>
      </c>
      <c r="J94" s="53">
        <v>0.14927275095736059</v>
      </c>
      <c r="K94" s="53">
        <v>4.5043E-2</v>
      </c>
      <c r="L94" s="53">
        <v>0.45900000000000002</v>
      </c>
      <c r="M94" s="53">
        <v>5.0942219623686315E-2</v>
      </c>
      <c r="N94" s="54">
        <v>0.34799061084345168</v>
      </c>
      <c r="O94" s="54">
        <v>4.128817283340104</v>
      </c>
      <c r="P94" s="54">
        <v>11.69639755876778</v>
      </c>
      <c r="Q94" s="54">
        <v>19.078266611364857</v>
      </c>
      <c r="R94" s="54">
        <v>1.6473566371259394</v>
      </c>
      <c r="S94" s="54">
        <v>17.483750732416834</v>
      </c>
      <c r="T94" s="53">
        <v>0.13370151554071408</v>
      </c>
      <c r="U94" s="53">
        <v>0.19896841700046131</v>
      </c>
      <c r="V94" s="53">
        <v>0.25906870978152774</v>
      </c>
      <c r="W94" s="53">
        <v>1.5052569708950143</v>
      </c>
      <c r="X94" s="53">
        <v>0.11153676746474966</v>
      </c>
      <c r="Y94" s="53">
        <v>0.58882821831655419</v>
      </c>
      <c r="Z94" s="53">
        <v>0.76529999999999998</v>
      </c>
    </row>
    <row r="95" spans="1:26">
      <c r="A95" s="3" t="s">
        <v>292</v>
      </c>
      <c r="B95" s="3">
        <v>13</v>
      </c>
      <c r="C95" s="53">
        <v>0.1084909090909091</v>
      </c>
      <c r="D95" s="53">
        <v>0.30680997617385836</v>
      </c>
      <c r="E95" s="53">
        <v>8.4062309144149125E-2</v>
      </c>
      <c r="F95" s="53">
        <v>0.11091729369959376</v>
      </c>
      <c r="G95" s="54">
        <v>0.5167327711975247</v>
      </c>
      <c r="H95" s="54">
        <v>0.71396343407949392</v>
      </c>
      <c r="I95" s="53">
        <v>7.1642317967656716E-2</v>
      </c>
      <c r="J95" s="53">
        <v>0.42031449597641224</v>
      </c>
      <c r="K95" s="53">
        <v>5.0854999999999997E-2</v>
      </c>
      <c r="L95" s="53">
        <v>0.33729999999999999</v>
      </c>
      <c r="M95" s="53">
        <v>6.0343307884739357E-2</v>
      </c>
      <c r="N95" s="54">
        <v>0.24924739614341856</v>
      </c>
      <c r="O95" s="54">
        <v>7.895573764246353</v>
      </c>
      <c r="P95" s="54">
        <v>16.861059231983642</v>
      </c>
      <c r="Q95" s="54">
        <v>25.637409477526273</v>
      </c>
      <c r="R95" s="54">
        <v>2.3031518241417506</v>
      </c>
      <c r="S95" s="54">
        <v>34.884505444212166</v>
      </c>
      <c r="T95" s="53">
        <v>0.11350573999309437</v>
      </c>
      <c r="U95" s="53">
        <v>0.96620245487575274</v>
      </c>
      <c r="V95" s="53">
        <v>0.40175099691053662</v>
      </c>
      <c r="W95" s="53">
        <v>1.4950509635847589</v>
      </c>
      <c r="X95" s="53">
        <v>0.15979158800682633</v>
      </c>
      <c r="Y95" s="53">
        <v>0.39244972646773968</v>
      </c>
      <c r="Z95" s="53">
        <v>0.55779999999999996</v>
      </c>
    </row>
    <row r="96" spans="1:26">
      <c r="M96" s="5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8E5B5-A11D-40F9-BEBE-344B05ED50DC}">
  <sheetPr>
    <tabColor theme="4" tint="0.39997558519241921"/>
  </sheetPr>
  <dimension ref="A1:Z95"/>
  <sheetViews>
    <sheetView workbookViewId="0">
      <selection sqref="A1:XFD1048576"/>
    </sheetView>
  </sheetViews>
  <sheetFormatPr defaultRowHeight="15"/>
  <cols>
    <col min="1" max="1" width="36.140625" style="3" bestFit="1" customWidth="1"/>
    <col min="2" max="11" width="9.140625" style="3"/>
    <col min="12" max="12" width="10.28515625" style="3" customWidth="1"/>
    <col min="13" max="13" width="9.140625" style="3"/>
    <col min="14" max="14" width="10.42578125" style="3" customWidth="1"/>
    <col min="15" max="16384" width="9.140625" style="3"/>
  </cols>
  <sheetData>
    <row r="1" spans="1:26" s="102" customFormat="1" ht="72">
      <c r="A1" s="93" t="s">
        <v>198</v>
      </c>
      <c r="B1" s="98" t="s">
        <v>562</v>
      </c>
      <c r="C1" s="99" t="s">
        <v>563</v>
      </c>
      <c r="D1" s="98" t="s">
        <v>564</v>
      </c>
      <c r="E1" s="99" t="s">
        <v>565</v>
      </c>
      <c r="F1" s="98" t="s">
        <v>566</v>
      </c>
      <c r="G1" s="98" t="s">
        <v>515</v>
      </c>
      <c r="H1" s="98" t="s">
        <v>567</v>
      </c>
      <c r="I1" s="98" t="s">
        <v>568</v>
      </c>
      <c r="J1" s="98" t="s">
        <v>569</v>
      </c>
      <c r="K1" s="98" t="s">
        <v>570</v>
      </c>
      <c r="L1" s="98" t="s">
        <v>571</v>
      </c>
      <c r="M1" s="98" t="s">
        <v>357</v>
      </c>
      <c r="N1" s="100" t="s">
        <v>572</v>
      </c>
      <c r="O1" s="98" t="s">
        <v>511</v>
      </c>
      <c r="P1" s="98" t="s">
        <v>573</v>
      </c>
      <c r="Q1" s="98" t="s">
        <v>574</v>
      </c>
      <c r="R1" s="98" t="s">
        <v>575</v>
      </c>
      <c r="S1" s="98" t="s">
        <v>576</v>
      </c>
      <c r="T1" s="98" t="s">
        <v>577</v>
      </c>
      <c r="U1" s="98" t="s">
        <v>578</v>
      </c>
      <c r="V1" s="98" t="s">
        <v>579</v>
      </c>
      <c r="W1" s="98" t="s">
        <v>580</v>
      </c>
      <c r="X1" s="101" t="s">
        <v>581</v>
      </c>
      <c r="Y1" s="101" t="s">
        <v>582</v>
      </c>
      <c r="Z1" s="101" t="s">
        <v>583</v>
      </c>
    </row>
    <row r="2" spans="1:26">
      <c r="A2" s="3" t="s">
        <v>199</v>
      </c>
      <c r="B2" s="3">
        <v>391</v>
      </c>
      <c r="C2" s="53">
        <v>6.067873303167419E-2</v>
      </c>
      <c r="D2" s="103">
        <v>7.9970811505936296E-2</v>
      </c>
      <c r="E2" s="53">
        <v>0.22318415384806262</v>
      </c>
      <c r="F2" s="103">
        <v>0.14376235296448503</v>
      </c>
      <c r="G2" s="104">
        <v>1.230922708614234</v>
      </c>
      <c r="H2" s="54">
        <v>1.3525261181448862</v>
      </c>
      <c r="I2" s="53">
        <v>0.12549692417308722</v>
      </c>
      <c r="J2" s="53">
        <v>0.38891117906224903</v>
      </c>
      <c r="K2" s="53">
        <v>6.4354999999999996E-2</v>
      </c>
      <c r="L2" s="53">
        <v>0.23971065900192118</v>
      </c>
      <c r="M2" s="53">
        <v>0.10693454331762162</v>
      </c>
      <c r="N2" s="54">
        <v>3.2269278158581134</v>
      </c>
      <c r="O2" s="54">
        <v>1.559758183059845</v>
      </c>
      <c r="P2" s="54">
        <v>11.941457605101091</v>
      </c>
      <c r="Q2" s="54">
        <v>18.46819835441859</v>
      </c>
      <c r="R2" s="54">
        <v>2.5969840766685515</v>
      </c>
      <c r="S2" s="54">
        <v>53.676863651275937</v>
      </c>
      <c r="T2" s="53">
        <v>-2.5138144517558653E-2</v>
      </c>
      <c r="U2" s="103">
        <v>-8.9523825484201739E-3</v>
      </c>
      <c r="V2" s="53">
        <v>1.7319182249018784E-3</v>
      </c>
      <c r="W2" s="103">
        <v>0.25114078027496484</v>
      </c>
      <c r="X2" s="53">
        <v>7.5356549690505092E-2</v>
      </c>
      <c r="Y2" s="53">
        <v>0.76013580051126117</v>
      </c>
      <c r="Z2" s="103">
        <v>0.34229999999999999</v>
      </c>
    </row>
    <row r="3" spans="1:26">
      <c r="A3" s="3" t="s">
        <v>200</v>
      </c>
      <c r="B3" s="3">
        <v>289</v>
      </c>
      <c r="C3" s="53">
        <v>9.3095680473372799E-2</v>
      </c>
      <c r="D3" s="103">
        <v>8.0040352612991042E-2</v>
      </c>
      <c r="E3" s="53">
        <v>0.13938187028979596</v>
      </c>
      <c r="F3" s="103">
        <v>9.4028578776713903E-2</v>
      </c>
      <c r="G3" s="104">
        <v>0.90338325999219782</v>
      </c>
      <c r="H3" s="54">
        <v>0.98430307414573659</v>
      </c>
      <c r="I3" s="53">
        <v>0.10189382705274172</v>
      </c>
      <c r="J3" s="53">
        <v>0.35101018860014016</v>
      </c>
      <c r="K3" s="53">
        <v>6.4354999999999996E-2</v>
      </c>
      <c r="L3" s="53">
        <v>0.17197348630021456</v>
      </c>
      <c r="M3" s="53">
        <v>9.2635890133273613E-2</v>
      </c>
      <c r="N3" s="54">
        <v>1.832261980772774</v>
      </c>
      <c r="O3" s="54">
        <v>2.2616278665454335</v>
      </c>
      <c r="P3" s="54">
        <v>17.907632080275885</v>
      </c>
      <c r="Q3" s="54">
        <v>27.409853803101679</v>
      </c>
      <c r="R3" s="54">
        <v>4.4675789858150114</v>
      </c>
      <c r="S3" s="54">
        <v>77.145601859135155</v>
      </c>
      <c r="T3" s="53">
        <v>0.38805333617951365</v>
      </c>
      <c r="U3" s="103">
        <v>1.2612646382451399E-2</v>
      </c>
      <c r="V3" s="53">
        <v>2.1536227284770421E-2</v>
      </c>
      <c r="W3" s="103">
        <v>0.40167246380722366</v>
      </c>
      <c r="X3" s="53">
        <v>0.14143383047792696</v>
      </c>
      <c r="Y3" s="53">
        <v>0.44958156371112074</v>
      </c>
      <c r="Z3" s="103">
        <v>0.76280000000000003</v>
      </c>
    </row>
    <row r="4" spans="1:26">
      <c r="A4" s="3" t="s">
        <v>201</v>
      </c>
      <c r="B4" s="3">
        <v>155</v>
      </c>
      <c r="C4" s="53">
        <v>2.4834959999999993E-2</v>
      </c>
      <c r="D4" s="103">
        <v>7.2167087199235175E-2</v>
      </c>
      <c r="E4" s="53">
        <v>7.6090439467841289E-2</v>
      </c>
      <c r="F4" s="103">
        <v>0.12181027768388246</v>
      </c>
      <c r="G4" s="104">
        <v>0.81040340851220216</v>
      </c>
      <c r="H4" s="54">
        <v>1.2872127648104197</v>
      </c>
      <c r="I4" s="53">
        <v>0.12131033822434791</v>
      </c>
      <c r="J4" s="53">
        <v>0.30061794269989939</v>
      </c>
      <c r="K4" s="53">
        <v>6.4354999999999996E-2</v>
      </c>
      <c r="L4" s="53">
        <v>0.5098168184151185</v>
      </c>
      <c r="M4" s="53">
        <v>8.3966243925460496E-2</v>
      </c>
      <c r="N4" s="54">
        <v>1.1974037614368913</v>
      </c>
      <c r="O4" s="54">
        <v>1.4160606754934064</v>
      </c>
      <c r="P4" s="54">
        <v>8.4210655337795917</v>
      </c>
      <c r="Q4" s="54">
        <v>18.088756940528786</v>
      </c>
      <c r="R4" s="54">
        <v>2.4000358145682918</v>
      </c>
      <c r="S4" s="54">
        <v>96.63158394397243</v>
      </c>
      <c r="T4" s="53">
        <v>-2.8523145438302533E-2</v>
      </c>
      <c r="U4" s="103">
        <v>-2.1550757358998661E-2</v>
      </c>
      <c r="V4" s="53">
        <v>3.4606502475835459E-2</v>
      </c>
      <c r="W4" s="103">
        <v>0.3036030119027146</v>
      </c>
      <c r="X4" s="53">
        <v>0.19646294458461791</v>
      </c>
      <c r="Y4" s="53">
        <v>0.25209574595687112</v>
      </c>
      <c r="Z4" s="103">
        <v>0.74880000000000002</v>
      </c>
    </row>
    <row r="5" spans="1:26">
      <c r="A5" s="3" t="s">
        <v>202</v>
      </c>
      <c r="B5" s="3">
        <v>1152</v>
      </c>
      <c r="C5" s="53">
        <v>2.9902592592592647E-2</v>
      </c>
      <c r="D5" s="103">
        <v>0.14800239414124869</v>
      </c>
      <c r="E5" s="53">
        <v>0.21314799858212871</v>
      </c>
      <c r="F5" s="103">
        <v>0.1373262342575402</v>
      </c>
      <c r="G5" s="104">
        <v>0.77946573342923353</v>
      </c>
      <c r="H5" s="54">
        <v>0.8327732999954236</v>
      </c>
      <c r="I5" s="53">
        <v>9.2180768529706664E-2</v>
      </c>
      <c r="J5" s="53">
        <v>0.32723668608398665</v>
      </c>
      <c r="K5" s="53">
        <v>6.4354999999999996E-2</v>
      </c>
      <c r="L5" s="53">
        <v>0.14561415127969835</v>
      </c>
      <c r="M5" s="53">
        <v>8.5756205989288903E-2</v>
      </c>
      <c r="N5" s="54">
        <v>1.6689116104178496</v>
      </c>
      <c r="O5" s="54">
        <v>2.4393038474523534</v>
      </c>
      <c r="P5" s="54">
        <v>13.192840233095488</v>
      </c>
      <c r="Q5" s="54">
        <v>16.125324871999986</v>
      </c>
      <c r="R5" s="54">
        <v>3.6292338849372463</v>
      </c>
      <c r="S5" s="54">
        <v>42.488215468913204</v>
      </c>
      <c r="T5" s="53">
        <v>0.22428068163286738</v>
      </c>
      <c r="U5" s="103">
        <v>6.7615443487588939E-2</v>
      </c>
      <c r="V5" s="53">
        <v>3.4267562712317463E-2</v>
      </c>
      <c r="W5" s="103">
        <v>0.52147230642361864</v>
      </c>
      <c r="X5" s="53">
        <v>0.17062717492423177</v>
      </c>
      <c r="Y5" s="53">
        <v>0.42378359803405485</v>
      </c>
      <c r="Z5" s="103">
        <v>0.64700000000000002</v>
      </c>
    </row>
    <row r="6" spans="1:26">
      <c r="A6" s="3" t="s">
        <v>203</v>
      </c>
      <c r="B6" s="3">
        <v>165</v>
      </c>
      <c r="C6" s="53">
        <v>8.1321568627451005E-2</v>
      </c>
      <c r="D6" s="103">
        <v>7.5747458250856214E-2</v>
      </c>
      <c r="E6" s="53">
        <v>8.6167570629544429E-2</v>
      </c>
      <c r="F6" s="103">
        <v>9.9703363211726292E-2</v>
      </c>
      <c r="G6" s="104">
        <v>1.1030216126379662</v>
      </c>
      <c r="H6" s="54">
        <v>1.3606863499868866</v>
      </c>
      <c r="I6" s="53">
        <v>0.12601999503415945</v>
      </c>
      <c r="J6" s="53">
        <v>0.36463723432108103</v>
      </c>
      <c r="K6" s="53">
        <v>6.4354999999999996E-2</v>
      </c>
      <c r="L6" s="53">
        <v>0.35609740761964193</v>
      </c>
      <c r="M6" s="53">
        <v>9.8258754719041108E-2</v>
      </c>
      <c r="N6" s="54">
        <v>1.2339366809197057</v>
      </c>
      <c r="O6" s="54">
        <v>1.2010454020784698</v>
      </c>
      <c r="P6" s="54">
        <v>9.8422842102529184</v>
      </c>
      <c r="Q6" s="54">
        <v>15.278938923875362</v>
      </c>
      <c r="R6" s="54">
        <v>1.6673634307963558</v>
      </c>
      <c r="S6" s="54">
        <v>42.264064058692334</v>
      </c>
      <c r="T6" s="53">
        <v>2.1279099706557173E-2</v>
      </c>
      <c r="U6" s="103">
        <v>3.0356457541861143E-2</v>
      </c>
      <c r="V6" s="53">
        <v>3.4611750465439226E-2</v>
      </c>
      <c r="W6" s="103">
        <v>0.70382133445662309</v>
      </c>
      <c r="X6" s="53">
        <v>0.14502972145556844</v>
      </c>
      <c r="Y6" s="53">
        <v>0.26552011184291902</v>
      </c>
      <c r="Z6" s="103">
        <v>0.79990000000000006</v>
      </c>
    </row>
    <row r="7" spans="1:26">
      <c r="A7" s="3" t="s">
        <v>204</v>
      </c>
      <c r="B7" s="3">
        <v>761</v>
      </c>
      <c r="C7" s="53">
        <v>6.8719931740614457E-2</v>
      </c>
      <c r="D7" s="103">
        <v>5.0299970070420363E-2</v>
      </c>
      <c r="E7" s="53">
        <v>6.9513426919346172E-2</v>
      </c>
      <c r="F7" s="103">
        <v>0.16103259452446</v>
      </c>
      <c r="G7" s="104">
        <v>1.2090551528976201</v>
      </c>
      <c r="H7" s="54">
        <v>1.3055576462563983</v>
      </c>
      <c r="I7" s="53">
        <v>0.12248624512503513</v>
      </c>
      <c r="J7" s="53">
        <v>0.30389336137361062</v>
      </c>
      <c r="K7" s="53">
        <v>6.4354999999999996E-2</v>
      </c>
      <c r="L7" s="53">
        <v>0.23444226966537252</v>
      </c>
      <c r="M7" s="53">
        <v>0.10503766091012319</v>
      </c>
      <c r="N7" s="54">
        <v>1.7302940449169695</v>
      </c>
      <c r="O7" s="54">
        <v>0.82655482438861694</v>
      </c>
      <c r="P7" s="54">
        <v>8.5539997462023134</v>
      </c>
      <c r="Q7" s="54">
        <v>15.807321844185415</v>
      </c>
      <c r="R7" s="54">
        <v>1.4984185462279598</v>
      </c>
      <c r="S7" s="54">
        <v>130.48897980538902</v>
      </c>
      <c r="T7" s="53">
        <v>0.11764661032295171</v>
      </c>
      <c r="U7" s="103">
        <v>2.6259069392558291E-2</v>
      </c>
      <c r="V7" s="53">
        <v>3.8473888094413308E-2</v>
      </c>
      <c r="W7" s="103">
        <v>1.1613589310967309</v>
      </c>
      <c r="X7" s="53">
        <v>7.5788200409424869E-2</v>
      </c>
      <c r="Y7" s="53">
        <v>0.41658239132927549</v>
      </c>
      <c r="Z7" s="103">
        <v>1.2312000000000001</v>
      </c>
    </row>
    <row r="8" spans="1:26">
      <c r="A8" s="3" t="s">
        <v>205</v>
      </c>
      <c r="B8" s="3">
        <v>607</v>
      </c>
      <c r="C8" s="53">
        <v>0.12026280219780222</v>
      </c>
      <c r="D8" s="103">
        <v>3.1045979065866813E-3</v>
      </c>
      <c r="E8" s="53">
        <v>3.8710600933369518E-4</v>
      </c>
      <c r="F8" s="103">
        <v>0.2163852605799145</v>
      </c>
      <c r="G8" s="104">
        <v>0.42062215883943554</v>
      </c>
      <c r="H8" s="54">
        <v>0.87661222593848698</v>
      </c>
      <c r="I8" s="53">
        <v>9.499084368265702E-2</v>
      </c>
      <c r="J8" s="53">
        <v>0.21280779215491177</v>
      </c>
      <c r="K8" s="53">
        <v>5.8542999999999998E-2</v>
      </c>
      <c r="L8" s="53">
        <v>0.74422547902114233</v>
      </c>
      <c r="M8" s="53">
        <v>5.6833710288961531E-2</v>
      </c>
      <c r="N8" s="54">
        <v>0.15911567619584571</v>
      </c>
      <c r="O8" s="54">
        <v>6.7699193362529693</v>
      </c>
      <c r="P8" s="54">
        <v>189.89899252176048</v>
      </c>
      <c r="Q8" s="54" t="s">
        <v>584</v>
      </c>
      <c r="R8" s="54">
        <v>0.84234956897519375</v>
      </c>
      <c r="S8" s="54">
        <v>14.729077831666997</v>
      </c>
      <c r="T8" s="3" t="s">
        <v>584</v>
      </c>
      <c r="U8" s="103">
        <v>3.1613624335839467E-2</v>
      </c>
      <c r="V8" s="53">
        <v>5.0798671170112046E-2</v>
      </c>
      <c r="W8" s="103">
        <v>19.575019416478412</v>
      </c>
      <c r="X8" s="53">
        <v>0.12654306384811947</v>
      </c>
      <c r="Y8" s="53">
        <v>0.3069542161513743</v>
      </c>
      <c r="Z8" s="103">
        <v>33.143700000000003</v>
      </c>
    </row>
    <row r="9" spans="1:26">
      <c r="A9" s="3" t="s">
        <v>206</v>
      </c>
      <c r="B9" s="3">
        <v>881</v>
      </c>
      <c r="C9" s="53">
        <v>8.4004418282548593E-2</v>
      </c>
      <c r="D9" s="103">
        <v>-9.921603095124007E-4</v>
      </c>
      <c r="E9" s="53">
        <v>-1.4741659961087388E-4</v>
      </c>
      <c r="F9" s="103">
        <v>0.18284346245612007</v>
      </c>
      <c r="G9" s="104">
        <v>0.28391223862464121</v>
      </c>
      <c r="H9" s="54">
        <v>0.52308360515971275</v>
      </c>
      <c r="I9" s="53">
        <v>7.2329659090737589E-2</v>
      </c>
      <c r="J9" s="53">
        <v>0.1829555737562317</v>
      </c>
      <c r="K9" s="53">
        <v>5.8542999999999998E-2</v>
      </c>
      <c r="L9" s="53">
        <v>0.71756531239429977</v>
      </c>
      <c r="M9" s="53">
        <v>5.1800297269076687E-2</v>
      </c>
      <c r="N9" s="54">
        <v>0.17196644382490753</v>
      </c>
      <c r="O9" s="54">
        <v>5.8371202375026803</v>
      </c>
      <c r="P9" s="54" t="s">
        <v>584</v>
      </c>
      <c r="Q9" s="54" t="s">
        <v>584</v>
      </c>
      <c r="R9" s="54">
        <v>0.7449859762005423</v>
      </c>
      <c r="S9" s="54">
        <v>28.980754193617013</v>
      </c>
      <c r="T9" s="3" t="s">
        <v>584</v>
      </c>
      <c r="U9" s="103">
        <v>7.984463977211817E-2</v>
      </c>
      <c r="V9" s="53">
        <v>-4.2662562656123115E-2</v>
      </c>
      <c r="W9" s="103" t="s">
        <v>584</v>
      </c>
      <c r="X9" s="53">
        <v>9.8266834992314978E-2</v>
      </c>
      <c r="Y9" s="53">
        <v>0.29089509088479176</v>
      </c>
      <c r="Z9" s="103" t="s">
        <v>584</v>
      </c>
    </row>
    <row r="10" spans="1:26">
      <c r="A10" s="3" t="s">
        <v>207</v>
      </c>
      <c r="B10" s="3">
        <v>220</v>
      </c>
      <c r="C10" s="53">
        <v>8.2478474576271152E-2</v>
      </c>
      <c r="D10" s="103">
        <v>0.21718353208950997</v>
      </c>
      <c r="E10" s="53">
        <v>0.16067497723977506</v>
      </c>
      <c r="F10" s="103">
        <v>0.16215855323008468</v>
      </c>
      <c r="G10" s="104">
        <v>0.68658211006811931</v>
      </c>
      <c r="H10" s="54">
        <v>0.74556336192485029</v>
      </c>
      <c r="I10" s="53">
        <v>8.6590611499382908E-2</v>
      </c>
      <c r="J10" s="53">
        <v>0.27489398256287167</v>
      </c>
      <c r="K10" s="53">
        <v>6.4354999999999996E-2</v>
      </c>
      <c r="L10" s="53">
        <v>0.15736771820899165</v>
      </c>
      <c r="M10" s="53">
        <v>8.052718649999141E-2</v>
      </c>
      <c r="N10" s="54">
        <v>0.88209059613817564</v>
      </c>
      <c r="O10" s="54">
        <v>3.6455194860978168</v>
      </c>
      <c r="P10" s="54">
        <v>13.890019429473542</v>
      </c>
      <c r="Q10" s="54">
        <v>16.682460386274574</v>
      </c>
      <c r="R10" s="54">
        <v>3.176189348594515</v>
      </c>
      <c r="S10" s="54">
        <v>49.806144684265178</v>
      </c>
      <c r="T10" s="53">
        <v>0.10799586197824766</v>
      </c>
      <c r="U10" s="103">
        <v>3.8145715766077009E-3</v>
      </c>
      <c r="V10" s="53">
        <v>2.917893619654361E-2</v>
      </c>
      <c r="W10" s="103">
        <v>0.39674912424489028</v>
      </c>
      <c r="X10" s="53">
        <v>0.16528003825197413</v>
      </c>
      <c r="Y10" s="53">
        <v>0.44614569767062995</v>
      </c>
      <c r="Z10" s="103">
        <v>0.1336</v>
      </c>
    </row>
    <row r="11" spans="1:26">
      <c r="A11" s="3" t="s">
        <v>208</v>
      </c>
      <c r="B11" s="3">
        <v>100</v>
      </c>
      <c r="C11" s="53">
        <v>0.13106444444444451</v>
      </c>
      <c r="D11" s="103">
        <v>0.16773378772097294</v>
      </c>
      <c r="E11" s="53">
        <v>0.2608297340208956</v>
      </c>
      <c r="F11" s="103">
        <v>0.11828586530741127</v>
      </c>
      <c r="G11" s="104">
        <v>0.65633360985128586</v>
      </c>
      <c r="H11" s="54">
        <v>0.70711615968510422</v>
      </c>
      <c r="I11" s="53">
        <v>8.412614583581518E-2</v>
      </c>
      <c r="J11" s="53">
        <v>0.32238073188669158</v>
      </c>
      <c r="K11" s="53">
        <v>6.4354999999999996E-2</v>
      </c>
      <c r="L11" s="53">
        <v>0.14148944903633848</v>
      </c>
      <c r="M11" s="53">
        <v>7.9023211160328455E-2</v>
      </c>
      <c r="N11" s="54">
        <v>1.7627547191775155</v>
      </c>
      <c r="O11" s="54">
        <v>3.5378584257458057</v>
      </c>
      <c r="P11" s="54">
        <v>17.269454444972265</v>
      </c>
      <c r="Q11" s="54">
        <v>21.066831643634497</v>
      </c>
      <c r="R11" s="54">
        <v>6.2212477334543177</v>
      </c>
      <c r="S11" s="54">
        <v>34.11006197729769</v>
      </c>
      <c r="T11" s="53">
        <v>-4.6222997524781692E-2</v>
      </c>
      <c r="U11" s="103">
        <v>4.1359988705378374E-2</v>
      </c>
      <c r="V11" s="53">
        <v>2.2693158799400592E-2</v>
      </c>
      <c r="W11" s="103">
        <v>0.28353809683457926</v>
      </c>
      <c r="X11" s="53">
        <v>0.2576342081193243</v>
      </c>
      <c r="Y11" s="53">
        <v>0.63108793040666566</v>
      </c>
      <c r="Z11" s="103">
        <v>0.33129999999999998</v>
      </c>
    </row>
    <row r="12" spans="1:26">
      <c r="A12" s="3" t="s">
        <v>209</v>
      </c>
      <c r="B12" s="3">
        <v>130</v>
      </c>
      <c r="C12" s="53">
        <v>4.030675925925923E-2</v>
      </c>
      <c r="D12" s="103">
        <v>9.8674866264906513E-2</v>
      </c>
      <c r="E12" s="53">
        <v>8.8152853321582583E-2</v>
      </c>
      <c r="F12" s="103">
        <v>0.14865863163963039</v>
      </c>
      <c r="G12" s="104">
        <v>0.66373823913789409</v>
      </c>
      <c r="H12" s="54">
        <v>0.98196857098756574</v>
      </c>
      <c r="I12" s="53">
        <v>0.10174418540030297</v>
      </c>
      <c r="J12" s="53">
        <v>0.31539632930060441</v>
      </c>
      <c r="K12" s="53">
        <v>6.4354999999999996E-2</v>
      </c>
      <c r="L12" s="53">
        <v>0.46662626831965853</v>
      </c>
      <c r="M12" s="53">
        <v>7.6693880819827157E-2</v>
      </c>
      <c r="N12" s="54">
        <v>1.0482622756377238</v>
      </c>
      <c r="O12" s="54">
        <v>1.1859945658791715</v>
      </c>
      <c r="P12" s="54">
        <v>7.8705781500574945</v>
      </c>
      <c r="Q12" s="54">
        <v>11.666819517509953</v>
      </c>
      <c r="R12" s="54">
        <v>0.74709201201005304</v>
      </c>
      <c r="S12" s="54">
        <v>45.336231476624697</v>
      </c>
      <c r="T12" s="53">
        <v>0.12358975266083913</v>
      </c>
      <c r="U12" s="103">
        <v>1.536153808767424E-2</v>
      </c>
      <c r="V12" s="53">
        <v>-2.745963089018547E-3</v>
      </c>
      <c r="W12" s="103">
        <v>1.536797306304446</v>
      </c>
      <c r="X12" s="53">
        <v>-3.5567526500278491E-3</v>
      </c>
      <c r="Y12" s="53">
        <v>4.7085165407288673E-3</v>
      </c>
      <c r="Z12" s="103">
        <v>0.64729999999999999</v>
      </c>
    </row>
    <row r="13" spans="1:26">
      <c r="A13" s="3" t="s">
        <v>210</v>
      </c>
      <c r="B13" s="3">
        <v>590</v>
      </c>
      <c r="C13" s="53">
        <v>0.10416122249388746</v>
      </c>
      <c r="D13" s="103">
        <v>1.1522730584891292E-2</v>
      </c>
      <c r="E13" s="53">
        <v>1.8058244106970486E-3</v>
      </c>
      <c r="F13" s="103">
        <v>0.1318549020475743</v>
      </c>
      <c r="G13" s="104">
        <v>0.39976610514833744</v>
      </c>
      <c r="H13" s="54">
        <v>0.92867816558663385</v>
      </c>
      <c r="I13" s="53">
        <v>9.8328270414103233E-2</v>
      </c>
      <c r="J13" s="53">
        <v>0.31951733900502816</v>
      </c>
      <c r="K13" s="53">
        <v>6.4354999999999996E-2</v>
      </c>
      <c r="L13" s="53">
        <v>0.71231609094302373</v>
      </c>
      <c r="M13" s="53">
        <v>6.2521596201514928E-2</v>
      </c>
      <c r="N13" s="54">
        <v>0.18374812093580101</v>
      </c>
      <c r="O13" s="54">
        <v>6.8227983793976916</v>
      </c>
      <c r="P13" s="54">
        <v>189.17464263492164</v>
      </c>
      <c r="Q13" s="54" t="s">
        <v>584</v>
      </c>
      <c r="R13" s="54">
        <v>1.2584232975164984</v>
      </c>
      <c r="S13" s="54">
        <v>115.17713682796492</v>
      </c>
      <c r="T13" s="53" t="s">
        <v>584</v>
      </c>
      <c r="U13" s="103">
        <v>-2.3799526575878373E-3</v>
      </c>
      <c r="V13" s="53">
        <v>1.784038062272536E-2</v>
      </c>
      <c r="W13" s="103">
        <v>8.4602071210860217</v>
      </c>
      <c r="X13" s="53">
        <v>7.6645177486536833E-2</v>
      </c>
      <c r="Y13" s="53">
        <v>0.59630235260648212</v>
      </c>
      <c r="Z13" s="103">
        <v>89.085800000000006</v>
      </c>
    </row>
    <row r="14" spans="1:26">
      <c r="A14" s="3" t="s">
        <v>211</v>
      </c>
      <c r="B14" s="3">
        <v>457</v>
      </c>
      <c r="C14" s="53">
        <v>6.0341779661016975E-2</v>
      </c>
      <c r="D14" s="103">
        <v>0.10736343118433062</v>
      </c>
      <c r="E14" s="53">
        <v>0.16730290380377014</v>
      </c>
      <c r="F14" s="103">
        <v>0.15935721471413286</v>
      </c>
      <c r="G14" s="104">
        <v>0.94049139107378144</v>
      </c>
      <c r="H14" s="54">
        <v>1.0314797894224859</v>
      </c>
      <c r="I14" s="53">
        <v>0.10491785450198135</v>
      </c>
      <c r="J14" s="53">
        <v>0.28001303760534801</v>
      </c>
      <c r="K14" s="53">
        <v>6.4354999999999996E-2</v>
      </c>
      <c r="L14" s="53">
        <v>0.17800859680469788</v>
      </c>
      <c r="M14" s="53">
        <v>9.4796723499457378E-2</v>
      </c>
      <c r="N14" s="54">
        <v>1.8434295701551509</v>
      </c>
      <c r="O14" s="54">
        <v>1.7142682425921849</v>
      </c>
      <c r="P14" s="54">
        <v>11.505961873812181</v>
      </c>
      <c r="Q14" s="54">
        <v>15.690307278203431</v>
      </c>
      <c r="R14" s="54">
        <v>2.8207400308199988</v>
      </c>
      <c r="S14" s="54">
        <v>28.790076883849167</v>
      </c>
      <c r="T14" s="53">
        <v>0.17489299179969522</v>
      </c>
      <c r="U14" s="103">
        <v>3.2959674260180927E-2</v>
      </c>
      <c r="V14" s="53">
        <v>5.1551982456434026E-2</v>
      </c>
      <c r="W14" s="103">
        <v>0.67999326816282113</v>
      </c>
      <c r="X14" s="53">
        <v>0.13388147527037284</v>
      </c>
      <c r="Y14" s="53">
        <v>0.388872338450932</v>
      </c>
      <c r="Z14" s="103">
        <v>0.88290000000000002</v>
      </c>
    </row>
    <row r="15" spans="1:26">
      <c r="A15" s="3" t="s">
        <v>212</v>
      </c>
      <c r="B15" s="3">
        <v>980</v>
      </c>
      <c r="C15" s="53">
        <v>7.4751886503067494E-2</v>
      </c>
      <c r="D15" s="103">
        <v>9.2564518859037354E-2</v>
      </c>
      <c r="E15" s="53">
        <v>0.21051840184826312</v>
      </c>
      <c r="F15" s="103">
        <v>0.16799356876584548</v>
      </c>
      <c r="G15" s="104">
        <v>0.96407247528666307</v>
      </c>
      <c r="H15" s="54">
        <v>1.0420886881980234</v>
      </c>
      <c r="I15" s="53">
        <v>0.1055978849134933</v>
      </c>
      <c r="J15" s="53">
        <v>0.33306409769419965</v>
      </c>
      <c r="K15" s="53">
        <v>6.4354999999999996E-2</v>
      </c>
      <c r="L15" s="53">
        <v>0.16018506974822763</v>
      </c>
      <c r="M15" s="53">
        <v>9.6381225103571791E-2</v>
      </c>
      <c r="N15" s="54">
        <v>2.715334288051404</v>
      </c>
      <c r="O15" s="54">
        <v>2.0557335896830184</v>
      </c>
      <c r="P15" s="54">
        <v>15.444300197282416</v>
      </c>
      <c r="Q15" s="54">
        <v>21.523989925145624</v>
      </c>
      <c r="R15" s="54">
        <v>4.4253804849140437</v>
      </c>
      <c r="S15" s="54">
        <v>215.34905421682527</v>
      </c>
      <c r="T15" s="53">
        <v>0.10538724930811728</v>
      </c>
      <c r="U15" s="103">
        <v>1.8732578896551822E-2</v>
      </c>
      <c r="V15" s="53">
        <v>1.4473205088458613E-2</v>
      </c>
      <c r="W15" s="103">
        <v>0.30416219191382826</v>
      </c>
      <c r="X15" s="53">
        <v>0.13588911707732601</v>
      </c>
      <c r="Y15" s="53">
        <v>0.54379558964753638</v>
      </c>
      <c r="Z15" s="103">
        <v>0.53510000000000002</v>
      </c>
    </row>
    <row r="16" spans="1:26">
      <c r="A16" s="3" t="s">
        <v>213</v>
      </c>
      <c r="B16" s="3">
        <v>48</v>
      </c>
      <c r="C16" s="53">
        <v>4.1942682926829289E-2</v>
      </c>
      <c r="D16" s="103">
        <v>0.1825942079762046</v>
      </c>
      <c r="E16" s="53">
        <v>0.12004314941711695</v>
      </c>
      <c r="F16" s="103">
        <v>0.13470114214431717</v>
      </c>
      <c r="G16" s="104">
        <v>0.60757745917594519</v>
      </c>
      <c r="H16" s="54">
        <v>1.0211435017770623</v>
      </c>
      <c r="I16" s="53">
        <v>0.1042552984639097</v>
      </c>
      <c r="J16" s="53">
        <v>0.30910674067589428</v>
      </c>
      <c r="K16" s="53">
        <v>6.4354999999999996E-2</v>
      </c>
      <c r="L16" s="53">
        <v>0.49229680226199318</v>
      </c>
      <c r="M16" s="53">
        <v>7.6590687309164573E-2</v>
      </c>
      <c r="N16" s="54">
        <v>0.75937230431464287</v>
      </c>
      <c r="O16" s="54">
        <v>2.5412604191516617</v>
      </c>
      <c r="P16" s="54">
        <v>7.8754763695141152</v>
      </c>
      <c r="Q16" s="54">
        <v>13.842133335680833</v>
      </c>
      <c r="R16" s="54">
        <v>1.8679221543730586</v>
      </c>
      <c r="S16" s="54">
        <v>34.875965970574853</v>
      </c>
      <c r="T16" s="53">
        <v>7.5306298202324311E-3</v>
      </c>
      <c r="U16" s="103">
        <v>-1.1778116070334552E-2</v>
      </c>
      <c r="V16" s="53">
        <v>1.4127987573296598E-2</v>
      </c>
      <c r="W16" s="103">
        <v>0.18025282473487292</v>
      </c>
      <c r="X16" s="53">
        <v>0.15882582093501948</v>
      </c>
      <c r="Y16" s="53">
        <v>0.24726748870441223</v>
      </c>
      <c r="Z16" s="103">
        <v>-5.6500000000000002E-2</v>
      </c>
    </row>
    <row r="17" spans="1:26">
      <c r="A17" s="3" t="s">
        <v>214</v>
      </c>
      <c r="B17" s="3">
        <v>888</v>
      </c>
      <c r="C17" s="53">
        <v>8.5872087087087254E-2</v>
      </c>
      <c r="D17" s="103">
        <v>4.6801270581146581E-2</v>
      </c>
      <c r="E17" s="53">
        <v>4.6390050897023735E-2</v>
      </c>
      <c r="F17" s="103">
        <v>0.13751305026305555</v>
      </c>
      <c r="G17" s="104">
        <v>0.90192728654346632</v>
      </c>
      <c r="H17" s="54">
        <v>1.0727320656318433</v>
      </c>
      <c r="I17" s="53">
        <v>0.10756212540700116</v>
      </c>
      <c r="J17" s="53">
        <v>0.28877338728448732</v>
      </c>
      <c r="K17" s="53">
        <v>6.4354999999999996E-2</v>
      </c>
      <c r="L17" s="53">
        <v>0.30060028166786401</v>
      </c>
      <c r="M17" s="53">
        <v>8.9675864138308484E-2</v>
      </c>
      <c r="N17" s="54">
        <v>1.142331199467975</v>
      </c>
      <c r="O17" s="54">
        <v>1.3267680881060939</v>
      </c>
      <c r="P17" s="54">
        <v>12.709580510846019</v>
      </c>
      <c r="Q17" s="54">
        <v>26.906774069294407</v>
      </c>
      <c r="R17" s="54">
        <v>1.4647625666630479</v>
      </c>
      <c r="S17" s="54">
        <v>113.95451115517619</v>
      </c>
      <c r="T17" s="53">
        <v>0.13109121704272025</v>
      </c>
      <c r="U17" s="103">
        <v>5.9890191714082858E-2</v>
      </c>
      <c r="V17" s="53">
        <v>6.6481922015061645E-2</v>
      </c>
      <c r="W17" s="103">
        <v>1.9459032804024459</v>
      </c>
      <c r="X17" s="53">
        <v>3.8401073053239365E-2</v>
      </c>
      <c r="Y17" s="53">
        <v>1.4179036744594127</v>
      </c>
      <c r="Z17" s="103">
        <v>0.82250000000000001</v>
      </c>
    </row>
    <row r="18" spans="1:26">
      <c r="A18" s="3" t="s">
        <v>215</v>
      </c>
      <c r="B18" s="3">
        <v>64</v>
      </c>
      <c r="C18" s="53">
        <v>8.104345454545453E-2</v>
      </c>
      <c r="D18" s="103">
        <v>6.6286967414994458E-2</v>
      </c>
      <c r="E18" s="53">
        <v>5.4454418663555132E-2</v>
      </c>
      <c r="F18" s="103">
        <v>0.22550444687602672</v>
      </c>
      <c r="G18" s="104">
        <v>0.84636700760429417</v>
      </c>
      <c r="H18" s="54">
        <v>1.0926752561445319</v>
      </c>
      <c r="I18" s="53">
        <v>0.1088404839188645</v>
      </c>
      <c r="J18" s="53">
        <v>0.22362857363875668</v>
      </c>
      <c r="K18" s="53">
        <v>5.8542999999999998E-2</v>
      </c>
      <c r="L18" s="53">
        <v>0.35776016912734643</v>
      </c>
      <c r="M18" s="53">
        <v>8.5542937238606079E-2</v>
      </c>
      <c r="N18" s="54">
        <v>1.0817263319048771</v>
      </c>
      <c r="O18" s="54">
        <v>1.0157982256985356</v>
      </c>
      <c r="P18" s="54">
        <v>7.9802615466451119</v>
      </c>
      <c r="Q18" s="54">
        <v>14.42353398816341</v>
      </c>
      <c r="R18" s="54">
        <v>1.1205497743065977</v>
      </c>
      <c r="S18" s="54">
        <v>82.991453933495322</v>
      </c>
      <c r="T18" s="53">
        <v>0.19327838179916976</v>
      </c>
      <c r="U18" s="103">
        <v>2.3175042368213269E-2</v>
      </c>
      <c r="V18" s="53">
        <v>2.9991930051235523E-2</v>
      </c>
      <c r="W18" s="103">
        <v>0.49016869584410516</v>
      </c>
      <c r="X18" s="53">
        <v>2.9144222762520329E-2</v>
      </c>
      <c r="Y18" s="53">
        <v>1.7073693515687167</v>
      </c>
      <c r="Z18" s="103">
        <v>-0.78249999999999997</v>
      </c>
    </row>
    <row r="19" spans="1:26">
      <c r="A19" s="3" t="s">
        <v>216</v>
      </c>
      <c r="B19" s="3">
        <v>949</v>
      </c>
      <c r="C19" s="53">
        <v>9.4848671874999943E-2</v>
      </c>
      <c r="D19" s="103">
        <v>0.11994484650271643</v>
      </c>
      <c r="E19" s="53">
        <v>0.12380681994346758</v>
      </c>
      <c r="F19" s="103">
        <v>0.14221051519618305</v>
      </c>
      <c r="G19" s="104">
        <v>0.94095302064487263</v>
      </c>
      <c r="H19" s="54">
        <v>1.0268135146120052</v>
      </c>
      <c r="I19" s="53">
        <v>0.10461874628662954</v>
      </c>
      <c r="J19" s="53">
        <v>0.31217963918359742</v>
      </c>
      <c r="K19" s="53">
        <v>6.4354999999999996E-2</v>
      </c>
      <c r="L19" s="53">
        <v>0.17874753360855916</v>
      </c>
      <c r="M19" s="53">
        <v>9.4509066010627807E-2</v>
      </c>
      <c r="N19" s="54">
        <v>1.2093762157449224</v>
      </c>
      <c r="O19" s="54">
        <v>2.2521789021943541</v>
      </c>
      <c r="P19" s="54">
        <v>12.466233046293389</v>
      </c>
      <c r="Q19" s="54">
        <v>18.488180723537521</v>
      </c>
      <c r="R19" s="54">
        <v>2.4503177323688599</v>
      </c>
      <c r="S19" s="54">
        <v>46.349690338048291</v>
      </c>
      <c r="T19" s="53">
        <v>0.18241924623939815</v>
      </c>
      <c r="U19" s="103">
        <v>4.6584219137677074E-2</v>
      </c>
      <c r="V19" s="53">
        <v>6.7377140830119739E-2</v>
      </c>
      <c r="W19" s="103">
        <v>0.7886187208447869</v>
      </c>
      <c r="X19" s="53">
        <v>0.12070412277404113</v>
      </c>
      <c r="Y19" s="53">
        <v>0.5171976243077383</v>
      </c>
      <c r="Z19" s="103">
        <v>0.66269999999999996</v>
      </c>
    </row>
    <row r="20" spans="1:26">
      <c r="A20" s="3" t="s">
        <v>217</v>
      </c>
      <c r="B20" s="3">
        <v>215</v>
      </c>
      <c r="C20" s="53">
        <v>0.14781403669724769</v>
      </c>
      <c r="D20" s="103">
        <v>0.24035556325938898</v>
      </c>
      <c r="E20" s="53">
        <v>0.32220933558353676</v>
      </c>
      <c r="F20" s="103">
        <v>0.10341227314527048</v>
      </c>
      <c r="G20" s="104">
        <v>1.0773641639143725</v>
      </c>
      <c r="H20" s="54">
        <v>1.0062570197628331</v>
      </c>
      <c r="I20" s="53">
        <v>0.10330107496679761</v>
      </c>
      <c r="J20" s="53">
        <v>0.50421472982286319</v>
      </c>
      <c r="K20" s="53">
        <v>6.7024E-2</v>
      </c>
      <c r="L20" s="53">
        <v>0.16520601635212578</v>
      </c>
      <c r="M20" s="53">
        <v>9.4504259058901377E-2</v>
      </c>
      <c r="N20" s="54">
        <v>1.4921479319729078</v>
      </c>
      <c r="O20" s="54">
        <v>1.307114805453607</v>
      </c>
      <c r="P20" s="54">
        <v>4.0711931172113465</v>
      </c>
      <c r="Q20" s="54">
        <v>5.1735912674569757</v>
      </c>
      <c r="R20" s="54">
        <v>1.5046538096423796</v>
      </c>
      <c r="S20" s="54">
        <v>25.295557069036441</v>
      </c>
      <c r="T20" s="53">
        <v>-3.0186938808872188E-2</v>
      </c>
      <c r="U20" s="103">
        <v>3.7949460245922946E-2</v>
      </c>
      <c r="V20" s="53">
        <v>5.1223276068080345E-2</v>
      </c>
      <c r="W20" s="103">
        <v>0.24945089536313925</v>
      </c>
      <c r="X20" s="53">
        <v>0.21362534829389418</v>
      </c>
      <c r="Y20" s="53">
        <v>0.76433441749502462</v>
      </c>
      <c r="Z20" s="103">
        <v>0.31979999999999997</v>
      </c>
    </row>
    <row r="21" spans="1:26">
      <c r="A21" s="3" t="s">
        <v>218</v>
      </c>
      <c r="B21" s="3">
        <v>1164</v>
      </c>
      <c r="C21" s="53">
        <v>0.10303601552393267</v>
      </c>
      <c r="D21" s="103">
        <v>7.6629946290368345E-2</v>
      </c>
      <c r="E21" s="53">
        <v>0.21094949668920507</v>
      </c>
      <c r="F21" s="103">
        <v>0.16475875905545817</v>
      </c>
      <c r="G21" s="104">
        <v>1.001453208627515</v>
      </c>
      <c r="H21" s="54">
        <v>1.0414842742265753</v>
      </c>
      <c r="I21" s="53">
        <v>0.10555914197792349</v>
      </c>
      <c r="J21" s="53">
        <v>0.32895362923180793</v>
      </c>
      <c r="K21" s="53">
        <v>6.4354999999999996E-2</v>
      </c>
      <c r="L21" s="53">
        <v>0.12391040167313523</v>
      </c>
      <c r="M21" s="53">
        <v>9.8434439107444482E-2</v>
      </c>
      <c r="N21" s="54">
        <v>3.2861205177683659</v>
      </c>
      <c r="O21" s="54">
        <v>1.5245898873969437</v>
      </c>
      <c r="P21" s="54">
        <v>14.677564171647038</v>
      </c>
      <c r="Q21" s="54">
        <v>19.463101367592586</v>
      </c>
      <c r="R21" s="54">
        <v>3.9981872658666</v>
      </c>
      <c r="S21" s="54">
        <v>64.471243455611642</v>
      </c>
      <c r="T21" s="53">
        <v>0.15358638268892377</v>
      </c>
      <c r="U21" s="103">
        <v>1.2408356424096047E-2</v>
      </c>
      <c r="V21" s="53">
        <v>1.1342015868972563E-2</v>
      </c>
      <c r="W21" s="103">
        <v>0.2766352009390598</v>
      </c>
      <c r="X21" s="53">
        <v>0.16017730806734773</v>
      </c>
      <c r="Y21" s="53">
        <v>0.53071092220335547</v>
      </c>
      <c r="Z21" s="103">
        <v>0.35339999999999999</v>
      </c>
    </row>
    <row r="22" spans="1:26">
      <c r="A22" s="3" t="s">
        <v>219</v>
      </c>
      <c r="B22" s="3">
        <v>338</v>
      </c>
      <c r="C22" s="53">
        <v>5.7764980544747248E-3</v>
      </c>
      <c r="D22" s="103">
        <v>0.11402542116121527</v>
      </c>
      <c r="E22" s="53">
        <v>0.15747684459567854</v>
      </c>
      <c r="F22" s="103">
        <v>0.12194053663885653</v>
      </c>
      <c r="G22" s="104">
        <v>1.2534021480264679</v>
      </c>
      <c r="H22" s="54">
        <v>1.2665979213694358</v>
      </c>
      <c r="I22" s="53">
        <v>0.11998892675978085</v>
      </c>
      <c r="J22" s="53">
        <v>0.32935741174104016</v>
      </c>
      <c r="K22" s="53">
        <v>6.4354999999999996E-2</v>
      </c>
      <c r="L22" s="53">
        <v>7.0298242348147855E-2</v>
      </c>
      <c r="M22" s="53">
        <v>0.11493247170822769</v>
      </c>
      <c r="N22" s="54">
        <v>1.6364958004251178</v>
      </c>
      <c r="O22" s="54">
        <v>3.0481583211129686</v>
      </c>
      <c r="P22" s="54">
        <v>18.661505715430845</v>
      </c>
      <c r="Q22" s="54">
        <v>26.4426629923273</v>
      </c>
      <c r="R22" s="54">
        <v>6.7989481055691368</v>
      </c>
      <c r="S22" s="54">
        <v>54.682422056511975</v>
      </c>
      <c r="T22" s="53">
        <v>2.0955925405338062E-2</v>
      </c>
      <c r="U22" s="103">
        <v>3.2827286518238762E-2</v>
      </c>
      <c r="V22" s="53">
        <v>3.4593624971602087E-2</v>
      </c>
      <c r="W22" s="103">
        <v>0.38943365679267322</v>
      </c>
      <c r="X22" s="53">
        <v>0.28447577234191701</v>
      </c>
      <c r="Y22" s="53">
        <v>0.24867757226688211</v>
      </c>
      <c r="Z22" s="103">
        <v>0.50019999999999998</v>
      </c>
    </row>
    <row r="23" spans="1:26">
      <c r="A23" s="3" t="s">
        <v>220</v>
      </c>
      <c r="B23" s="3">
        <v>453</v>
      </c>
      <c r="C23" s="53">
        <v>9.4758753541076601E-2</v>
      </c>
      <c r="D23" s="103">
        <v>9.8604525892320549E-2</v>
      </c>
      <c r="E23" s="53">
        <v>7.7513426872213131E-2</v>
      </c>
      <c r="F23" s="103">
        <v>0.17094628239684709</v>
      </c>
      <c r="G23" s="104">
        <v>0.73700427741656926</v>
      </c>
      <c r="H23" s="54">
        <v>0.89500190186379802</v>
      </c>
      <c r="I23" s="53">
        <v>9.6169621909469455E-2</v>
      </c>
      <c r="J23" s="53">
        <v>0.26865017026949123</v>
      </c>
      <c r="K23" s="53">
        <v>6.4354999999999996E-2</v>
      </c>
      <c r="L23" s="53">
        <v>0.29922439180863503</v>
      </c>
      <c r="M23" s="53">
        <v>8.1774143509924097E-2</v>
      </c>
      <c r="N23" s="54">
        <v>0.94894787582701789</v>
      </c>
      <c r="O23" s="54">
        <v>1.6529551905702238</v>
      </c>
      <c r="P23" s="54">
        <v>10.165000157653116</v>
      </c>
      <c r="Q23" s="54">
        <v>16.387287224486034</v>
      </c>
      <c r="R23" s="54">
        <v>1.3202122622121673</v>
      </c>
      <c r="S23" s="54">
        <v>82.491170550200664</v>
      </c>
      <c r="T23" s="53">
        <v>0.1329862764554581</v>
      </c>
      <c r="U23" s="103">
        <v>3.5796678594107754E-2</v>
      </c>
      <c r="V23" s="53">
        <v>4.200794563938072E-2</v>
      </c>
      <c r="W23" s="103">
        <v>0.7819342931226485</v>
      </c>
      <c r="X23" s="53">
        <v>8.3677485685436037E-2</v>
      </c>
      <c r="Y23" s="53">
        <v>0.4649157952623415</v>
      </c>
      <c r="Z23" s="103">
        <v>0.70840000000000003</v>
      </c>
    </row>
    <row r="24" spans="1:26">
      <c r="A24" s="3" t="s">
        <v>221</v>
      </c>
      <c r="B24" s="3">
        <v>326</v>
      </c>
      <c r="C24" s="53">
        <v>8.0914939759036103E-2</v>
      </c>
      <c r="D24" s="103">
        <v>0.16207583758698121</v>
      </c>
      <c r="E24" s="53">
        <v>0.11943531860178909</v>
      </c>
      <c r="F24" s="103">
        <v>0.13916668409857108</v>
      </c>
      <c r="G24" s="104">
        <v>0.74470552214311936</v>
      </c>
      <c r="H24" s="54">
        <v>0.95356749790141293</v>
      </c>
      <c r="I24" s="53">
        <v>9.9923676615480572E-2</v>
      </c>
      <c r="J24" s="53">
        <v>0.27139035177107124</v>
      </c>
      <c r="K24" s="53">
        <v>6.4354999999999996E-2</v>
      </c>
      <c r="L24" s="53">
        <v>0.34006148234701139</v>
      </c>
      <c r="M24" s="53">
        <v>8.228694464495967E-2</v>
      </c>
      <c r="N24" s="54">
        <v>0.85444722366752124</v>
      </c>
      <c r="O24" s="54">
        <v>1.8308485319739563</v>
      </c>
      <c r="P24" s="54">
        <v>8.9318342403153697</v>
      </c>
      <c r="Q24" s="54">
        <v>11.141035054865846</v>
      </c>
      <c r="R24" s="54">
        <v>1.2240143580284992</v>
      </c>
      <c r="S24" s="54">
        <v>18.171079196107403</v>
      </c>
      <c r="T24" s="53">
        <v>-9.4527901245703039E-2</v>
      </c>
      <c r="U24" s="103">
        <v>3.5727032438049547E-2</v>
      </c>
      <c r="V24" s="53">
        <v>3.6123723176753823E-2</v>
      </c>
      <c r="W24" s="103">
        <v>0.37089583397223813</v>
      </c>
      <c r="X24" s="53">
        <v>0.1309759974200245</v>
      </c>
      <c r="Y24" s="53">
        <v>0.20065345310626242</v>
      </c>
      <c r="Z24" s="103">
        <v>0.46039999999999998</v>
      </c>
    </row>
    <row r="25" spans="1:26">
      <c r="A25" s="3" t="s">
        <v>222</v>
      </c>
      <c r="B25" s="3">
        <v>1259</v>
      </c>
      <c r="C25" s="53">
        <v>0.20205506249999991</v>
      </c>
      <c r="D25" s="103">
        <v>-5.5459639223816928E-3</v>
      </c>
      <c r="E25" s="53">
        <v>6.9302625462042151E-3</v>
      </c>
      <c r="F25" s="103">
        <v>2.0433290762096004E-2</v>
      </c>
      <c r="G25" s="104">
        <v>1.1499580759492702</v>
      </c>
      <c r="H25" s="54">
        <v>1.1735861272458452</v>
      </c>
      <c r="I25" s="53">
        <v>0.11402687075645869</v>
      </c>
      <c r="J25" s="53">
        <v>0.53278356840303376</v>
      </c>
      <c r="K25" s="53">
        <v>6.7024E-2</v>
      </c>
      <c r="L25" s="53">
        <v>0.1253938861785375</v>
      </c>
      <c r="M25" s="53">
        <v>0.10600500409450409</v>
      </c>
      <c r="N25" s="54">
        <v>0.4224018531621076</v>
      </c>
      <c r="O25" s="54">
        <v>6.9645349708093063</v>
      </c>
      <c r="P25" s="54">
        <v>15.315541154043329</v>
      </c>
      <c r="Q25" s="54" t="s">
        <v>584</v>
      </c>
      <c r="R25" s="54">
        <v>5.1098850921129495</v>
      </c>
      <c r="S25" s="54">
        <v>127.8356537479798</v>
      </c>
      <c r="T25" s="53">
        <v>0.17156984512745332</v>
      </c>
      <c r="U25" s="103">
        <v>0.13788348638401227</v>
      </c>
      <c r="V25" s="53">
        <v>9.623601001085437E-2</v>
      </c>
      <c r="W25" s="103" t="s">
        <v>584</v>
      </c>
      <c r="X25" s="53">
        <v>-8.8267685401764287E-2</v>
      </c>
      <c r="Y25" s="53">
        <v>4.660050948575847E-3</v>
      </c>
      <c r="Z25" s="103">
        <v>2.4076</v>
      </c>
    </row>
    <row r="26" spans="1:26">
      <c r="A26" s="3" t="s">
        <v>223</v>
      </c>
      <c r="B26" s="3">
        <v>1299</v>
      </c>
      <c r="C26" s="53">
        <v>0.18011462915601037</v>
      </c>
      <c r="D26" s="103">
        <v>0.18172401555616843</v>
      </c>
      <c r="E26" s="53">
        <v>0.1286808812517202</v>
      </c>
      <c r="F26" s="103">
        <v>9.6403958023941319E-2</v>
      </c>
      <c r="G26" s="104">
        <v>0.88577513704468624</v>
      </c>
      <c r="H26" s="54">
        <v>0.94631769643881536</v>
      </c>
      <c r="I26" s="53">
        <v>9.9458964341728073E-2</v>
      </c>
      <c r="J26" s="53">
        <v>0.41512557065255307</v>
      </c>
      <c r="K26" s="53">
        <v>6.4354999999999996E-2</v>
      </c>
      <c r="L26" s="53">
        <v>0.13356717205915372</v>
      </c>
      <c r="M26" s="53">
        <v>9.2593791967926192E-2</v>
      </c>
      <c r="N26" s="54">
        <v>0.71335755782872068</v>
      </c>
      <c r="O26" s="54">
        <v>4.0501862957271095</v>
      </c>
      <c r="P26" s="54">
        <v>14.601133383339445</v>
      </c>
      <c r="Q26" s="54">
        <v>21.710340042553305</v>
      </c>
      <c r="R26" s="54">
        <v>3.8805328784136299</v>
      </c>
      <c r="S26" s="54">
        <v>41.506467032240018</v>
      </c>
      <c r="T26" s="53">
        <v>0.15494978149385577</v>
      </c>
      <c r="U26" s="103">
        <v>5.7433549769644821E-2</v>
      </c>
      <c r="V26" s="53">
        <v>5.7092303524868299E-2</v>
      </c>
      <c r="W26" s="103">
        <v>0.44219808615144085</v>
      </c>
      <c r="X26" s="53">
        <v>0.13204955368081195</v>
      </c>
      <c r="Y26" s="53">
        <v>0.63542627245784833</v>
      </c>
      <c r="Z26" s="103">
        <v>0.57310000000000005</v>
      </c>
    </row>
    <row r="27" spans="1:26">
      <c r="A27" s="3" t="s">
        <v>224</v>
      </c>
      <c r="B27" s="3">
        <v>260</v>
      </c>
      <c r="C27" s="53">
        <v>0.10492715231788083</v>
      </c>
      <c r="D27" s="103">
        <v>0.10846568351673097</v>
      </c>
      <c r="E27" s="53">
        <v>9.268476409209106E-2</v>
      </c>
      <c r="F27" s="103">
        <v>0.123396829110511</v>
      </c>
      <c r="G27" s="104">
        <v>0.76004819384725264</v>
      </c>
      <c r="H27" s="54">
        <v>0.83104389516931254</v>
      </c>
      <c r="I27" s="53">
        <v>9.2069913680352944E-2</v>
      </c>
      <c r="J27" s="53">
        <v>0.3452563908096794</v>
      </c>
      <c r="K27" s="53">
        <v>6.4354999999999996E-2</v>
      </c>
      <c r="L27" s="53">
        <v>0.22381750152516147</v>
      </c>
      <c r="M27" s="53">
        <v>8.2219795036773791E-2</v>
      </c>
      <c r="N27" s="54">
        <v>0.97000135269600185</v>
      </c>
      <c r="O27" s="54">
        <v>2.2863341200289162</v>
      </c>
      <c r="P27" s="54">
        <v>10.920841334368044</v>
      </c>
      <c r="Q27" s="54">
        <v>18.170084325962243</v>
      </c>
      <c r="R27" s="54">
        <v>1.9459812751217249</v>
      </c>
      <c r="S27" s="54">
        <v>125.42376482692572</v>
      </c>
      <c r="T27" s="53">
        <v>3.4761840543722541E-2</v>
      </c>
      <c r="U27" s="103">
        <v>0.15324854351350051</v>
      </c>
      <c r="V27" s="53">
        <v>3.0121776656189984E-2</v>
      </c>
      <c r="W27" s="103">
        <v>0.57594986577843921</v>
      </c>
      <c r="X27" s="53">
        <v>5.1181871388765302E-2</v>
      </c>
      <c r="Y27" s="53">
        <v>0.5770804164162725</v>
      </c>
      <c r="Z27" s="103">
        <v>0.78820000000000001</v>
      </c>
    </row>
    <row r="28" spans="1:26">
      <c r="A28" s="3" t="s">
        <v>225</v>
      </c>
      <c r="B28" s="3">
        <v>1072</v>
      </c>
      <c r="C28" s="53">
        <v>0.1064847262247839</v>
      </c>
      <c r="D28" s="103">
        <v>7.165867201753312E-2</v>
      </c>
      <c r="E28" s="53">
        <v>0.10900312865728087</v>
      </c>
      <c r="F28" s="103">
        <v>0.11834997694606242</v>
      </c>
      <c r="G28" s="104">
        <v>1.1038380140290214</v>
      </c>
      <c r="H28" s="54">
        <v>1.1304437779998269</v>
      </c>
      <c r="I28" s="53">
        <v>0.11126144616978891</v>
      </c>
      <c r="J28" s="53">
        <v>0.35113385118094476</v>
      </c>
      <c r="K28" s="53">
        <v>6.4354999999999996E-2</v>
      </c>
      <c r="L28" s="53">
        <v>0.14982261726599735</v>
      </c>
      <c r="M28" s="53">
        <v>0.10179248713393692</v>
      </c>
      <c r="N28" s="54">
        <v>1.6654991268788271</v>
      </c>
      <c r="O28" s="54">
        <v>1.9374739155908258</v>
      </c>
      <c r="P28" s="54">
        <v>15.546386961505632</v>
      </c>
      <c r="Q28" s="54">
        <v>24.885788764738365</v>
      </c>
      <c r="R28" s="54">
        <v>2.8201040669778954</v>
      </c>
      <c r="S28" s="54">
        <v>97.348730318681916</v>
      </c>
      <c r="T28" s="53">
        <v>0.21724570207617155</v>
      </c>
      <c r="U28" s="103">
        <v>6.3184219099487335E-2</v>
      </c>
      <c r="V28" s="53">
        <v>6.0263839932513705E-2</v>
      </c>
      <c r="W28" s="103">
        <v>1.6223760120244064</v>
      </c>
      <c r="X28" s="53">
        <v>0.10855337528235151</v>
      </c>
      <c r="Y28" s="53">
        <v>0.39383156604280162</v>
      </c>
      <c r="Z28" s="103">
        <v>0.97629999999999995</v>
      </c>
    </row>
    <row r="29" spans="1:26">
      <c r="A29" s="3" t="s">
        <v>226</v>
      </c>
      <c r="B29" s="3">
        <v>127</v>
      </c>
      <c r="C29" s="53">
        <v>3.0448865979381429E-2</v>
      </c>
      <c r="D29" s="103">
        <v>4.6775343509256419E-2</v>
      </c>
      <c r="E29" s="53">
        <v>6.2281608986361356E-2</v>
      </c>
      <c r="F29" s="103">
        <v>0.11500672621521231</v>
      </c>
      <c r="G29" s="104">
        <v>1.1252477543580408</v>
      </c>
      <c r="H29" s="54">
        <v>1.2272209019035958</v>
      </c>
      <c r="I29" s="53">
        <v>0.1174648598120205</v>
      </c>
      <c r="J29" s="53">
        <v>0.33860993934953365</v>
      </c>
      <c r="K29" s="53">
        <v>6.4354999999999996E-2</v>
      </c>
      <c r="L29" s="53">
        <v>0.2324042985755658</v>
      </c>
      <c r="M29" s="53">
        <v>0.10133494502462215</v>
      </c>
      <c r="N29" s="54">
        <v>1.4795010697699906</v>
      </c>
      <c r="O29" s="54">
        <v>0.93723070954136545</v>
      </c>
      <c r="P29" s="54">
        <v>11.435556560776211</v>
      </c>
      <c r="Q29" s="54">
        <v>19.485953759181267</v>
      </c>
      <c r="R29" s="54">
        <v>1.7221991828297827</v>
      </c>
      <c r="S29" s="54">
        <v>40.793477581559046</v>
      </c>
      <c r="T29" s="53">
        <v>6.6260613553561026E-2</v>
      </c>
      <c r="U29" s="103">
        <v>6.5461285299230287E-2</v>
      </c>
      <c r="V29" s="53">
        <v>2.6957624809844108E-2</v>
      </c>
      <c r="W29" s="103">
        <v>0.87121609949845347</v>
      </c>
      <c r="X29" s="53">
        <v>7.3103505235122948E-2</v>
      </c>
      <c r="Y29" s="53">
        <v>0.32240989273865533</v>
      </c>
      <c r="Z29" s="103">
        <v>1.3365</v>
      </c>
    </row>
    <row r="30" spans="1:26">
      <c r="A30" s="3" t="s">
        <v>227</v>
      </c>
      <c r="B30" s="3">
        <v>1486</v>
      </c>
      <c r="C30" s="53">
        <v>5.8386102941176465E-2</v>
      </c>
      <c r="D30" s="103">
        <v>5.3154603096729237E-2</v>
      </c>
      <c r="E30" s="53">
        <v>6.4420130081040833E-2</v>
      </c>
      <c r="F30" s="103">
        <v>0.11332242765729182</v>
      </c>
      <c r="G30" s="104">
        <v>1.2783308812571212</v>
      </c>
      <c r="H30" s="54">
        <v>1.2819639249630848</v>
      </c>
      <c r="I30" s="53">
        <v>0.12097388759013374</v>
      </c>
      <c r="J30" s="53">
        <v>0.32533098524566445</v>
      </c>
      <c r="K30" s="53">
        <v>6.4354999999999996E-2</v>
      </c>
      <c r="L30" s="53">
        <v>0.15707809396113118</v>
      </c>
      <c r="M30" s="53">
        <v>0.10952076242670086</v>
      </c>
      <c r="N30" s="54">
        <v>1.3596420054060323</v>
      </c>
      <c r="O30" s="54">
        <v>1.5902472235868723</v>
      </c>
      <c r="P30" s="54">
        <v>14.162266281966454</v>
      </c>
      <c r="Q30" s="54">
        <v>28.293547866055913</v>
      </c>
      <c r="R30" s="54">
        <v>2.2713680154060274</v>
      </c>
      <c r="S30" s="54">
        <v>102.00098657127523</v>
      </c>
      <c r="T30" s="53">
        <v>0.18920480550752619</v>
      </c>
      <c r="U30" s="103">
        <v>6.341272234412805E-2</v>
      </c>
      <c r="V30" s="53">
        <v>3.5719374448328227E-2</v>
      </c>
      <c r="W30" s="103">
        <v>0.96580469979159833</v>
      </c>
      <c r="X30" s="53">
        <v>6.6824042377909704E-2</v>
      </c>
      <c r="Y30" s="53">
        <v>0.619116019722317</v>
      </c>
      <c r="Z30" s="103">
        <v>1.5981000000000001</v>
      </c>
    </row>
    <row r="31" spans="1:26">
      <c r="A31" s="3" t="s">
        <v>228</v>
      </c>
      <c r="B31" s="3">
        <v>1623</v>
      </c>
      <c r="C31" s="53">
        <v>6.3632522045855178E-2</v>
      </c>
      <c r="D31" s="103">
        <v>5.7051652491607867E-2</v>
      </c>
      <c r="E31" s="53">
        <v>8.7832768862487365E-2</v>
      </c>
      <c r="F31" s="103">
        <v>0.15376511452501476</v>
      </c>
      <c r="G31" s="104">
        <v>0.80829889996262527</v>
      </c>
      <c r="H31" s="54">
        <v>1.0134173356230618</v>
      </c>
      <c r="I31" s="53">
        <v>0.10376005121343827</v>
      </c>
      <c r="J31" s="53">
        <v>0.30521754682079866</v>
      </c>
      <c r="K31" s="53">
        <v>6.4354999999999996E-2</v>
      </c>
      <c r="L31" s="53">
        <v>0.40137684403371537</v>
      </c>
      <c r="M31" s="53">
        <v>8.1403466477201133E-2</v>
      </c>
      <c r="N31" s="54">
        <v>1.7955399896450586</v>
      </c>
      <c r="O31" s="54">
        <v>0.78265543041132646</v>
      </c>
      <c r="P31" s="54">
        <v>9.3963917182680792</v>
      </c>
      <c r="Q31" s="54">
        <v>13.169860467897617</v>
      </c>
      <c r="R31" s="54">
        <v>1.3065437278987848</v>
      </c>
      <c r="S31" s="54">
        <v>42.84328069717462</v>
      </c>
      <c r="T31" s="53">
        <v>0.15922667115136757</v>
      </c>
      <c r="U31" s="103">
        <v>2.6091027382896672E-2</v>
      </c>
      <c r="V31" s="53">
        <v>2.2302215975110659E-2</v>
      </c>
      <c r="W31" s="103">
        <v>1.0727986619930456</v>
      </c>
      <c r="X31" s="53">
        <v>0.10080519129528005</v>
      </c>
      <c r="Y31" s="53">
        <v>0.53466878872103096</v>
      </c>
      <c r="Z31" s="103">
        <v>1.2875000000000001</v>
      </c>
    </row>
    <row r="32" spans="1:26">
      <c r="A32" s="3" t="s">
        <v>229</v>
      </c>
      <c r="B32" s="3">
        <v>741</v>
      </c>
      <c r="C32" s="53">
        <v>9.6076651785714326E-2</v>
      </c>
      <c r="D32" s="103">
        <v>7.1403858833578804E-2</v>
      </c>
      <c r="E32" s="53">
        <v>7.471394705446395E-2</v>
      </c>
      <c r="F32" s="103">
        <v>8.7887982094768002E-2</v>
      </c>
      <c r="G32" s="104">
        <v>1.0326456976819207</v>
      </c>
      <c r="H32" s="54">
        <v>1.1080717666251705</v>
      </c>
      <c r="I32" s="53">
        <v>0.10982740024067343</v>
      </c>
      <c r="J32" s="53">
        <v>0.41350767359783558</v>
      </c>
      <c r="K32" s="53">
        <v>6.4354999999999996E-2</v>
      </c>
      <c r="L32" s="53">
        <v>0.18212968708614163</v>
      </c>
      <c r="M32" s="53">
        <v>9.8577780151436867E-2</v>
      </c>
      <c r="N32" s="54">
        <v>1.0903964728990392</v>
      </c>
      <c r="O32" s="54">
        <v>2.9125408254770848</v>
      </c>
      <c r="P32" s="54">
        <v>15.776376409406517</v>
      </c>
      <c r="Q32" s="54">
        <v>36.435754194977008</v>
      </c>
      <c r="R32" s="54">
        <v>2.4782437577445737</v>
      </c>
      <c r="S32" s="54">
        <v>156.16716168811146</v>
      </c>
      <c r="T32" s="53">
        <v>3.9983541310407288E-2</v>
      </c>
      <c r="U32" s="103">
        <v>2.7075856672277476E-2</v>
      </c>
      <c r="V32" s="53">
        <v>-2.5549451493464159E-2</v>
      </c>
      <c r="W32" s="103">
        <v>-0.34121714598614566</v>
      </c>
      <c r="X32" s="53">
        <v>2.2666950555256592E-2</v>
      </c>
      <c r="Y32" s="53">
        <v>0.89236563217857057</v>
      </c>
      <c r="Z32" s="103">
        <v>0.66269999999999996</v>
      </c>
    </row>
    <row r="33" spans="1:26">
      <c r="A33" s="3" t="s">
        <v>230</v>
      </c>
      <c r="B33" s="3">
        <v>383</v>
      </c>
      <c r="C33" s="53">
        <v>8.2141268292682965E-2</v>
      </c>
      <c r="D33" s="103">
        <v>0.10703140650226603</v>
      </c>
      <c r="E33" s="53">
        <v>0.10776035869992419</v>
      </c>
      <c r="F33" s="103">
        <v>0.13223885679532374</v>
      </c>
      <c r="G33" s="104">
        <v>0.82790885643594558</v>
      </c>
      <c r="H33" s="54">
        <v>1.0018793316240375</v>
      </c>
      <c r="I33" s="53">
        <v>0.10302046515710081</v>
      </c>
      <c r="J33" s="53">
        <v>0.33888162240655167</v>
      </c>
      <c r="K33" s="53">
        <v>6.4354999999999996E-2</v>
      </c>
      <c r="L33" s="53">
        <v>0.2593042957980482</v>
      </c>
      <c r="M33" s="53">
        <v>8.8769061864354501E-2</v>
      </c>
      <c r="N33" s="54">
        <v>1.1590208058340052</v>
      </c>
      <c r="O33" s="54">
        <v>2.7759010980617176</v>
      </c>
      <c r="P33" s="54">
        <v>14.044705041117071</v>
      </c>
      <c r="Q33" s="54">
        <v>24.861013118730213</v>
      </c>
      <c r="R33" s="54">
        <v>3.0192593691541796</v>
      </c>
      <c r="S33" s="54">
        <v>39.262852946191032</v>
      </c>
      <c r="T33" s="53">
        <v>0.14714493884822635</v>
      </c>
      <c r="U33" s="103">
        <v>0.10751660160840347</v>
      </c>
      <c r="V33" s="53">
        <v>7.4507316645837679E-2</v>
      </c>
      <c r="W33" s="103">
        <v>1.3468736213993504</v>
      </c>
      <c r="X33" s="53">
        <v>8.0683416835074878E-2</v>
      </c>
      <c r="Y33" s="53">
        <v>0.63167403228275598</v>
      </c>
      <c r="Z33" s="103">
        <v>1.0208999999999999</v>
      </c>
    </row>
    <row r="34" spans="1:26">
      <c r="A34" s="3" t="s">
        <v>231</v>
      </c>
      <c r="B34" s="3">
        <v>430</v>
      </c>
      <c r="C34" s="53">
        <v>0.11069166112956816</v>
      </c>
      <c r="D34" s="103">
        <v>8.2522963339118141E-2</v>
      </c>
      <c r="E34" s="53">
        <v>0.10564638698267619</v>
      </c>
      <c r="F34" s="103">
        <v>0.13522989637846131</v>
      </c>
      <c r="G34" s="104">
        <v>0.57398339009652077</v>
      </c>
      <c r="H34" s="54">
        <v>0.77392078568097156</v>
      </c>
      <c r="I34" s="53">
        <v>8.840832236215028E-2</v>
      </c>
      <c r="J34" s="53">
        <v>0.34054792350706298</v>
      </c>
      <c r="K34" s="53">
        <v>6.4354999999999996E-2</v>
      </c>
      <c r="L34" s="53">
        <v>0.36687002403495417</v>
      </c>
      <c r="M34" s="53">
        <v>7.3605847564565674E-2</v>
      </c>
      <c r="N34" s="54">
        <v>1.4546832049254672</v>
      </c>
      <c r="O34" s="54">
        <v>1.0834451563271217</v>
      </c>
      <c r="P34" s="54">
        <v>9.7489631349602046</v>
      </c>
      <c r="Q34" s="54">
        <v>12.67416573044666</v>
      </c>
      <c r="R34" s="54">
        <v>1.8261410113292817</v>
      </c>
      <c r="S34" s="54">
        <v>26.811988355670824</v>
      </c>
      <c r="T34" s="53">
        <v>0.16202092453582581</v>
      </c>
      <c r="U34" s="103">
        <v>3.2607347700619203E-2</v>
      </c>
      <c r="V34" s="53">
        <v>2.7119979747894662E-2</v>
      </c>
      <c r="W34" s="103">
        <v>0.59827152032280362</v>
      </c>
      <c r="X34" s="53">
        <v>0.14471013504560329</v>
      </c>
      <c r="Y34" s="53">
        <v>0.33023374015623391</v>
      </c>
      <c r="Z34" s="103">
        <v>1.5225</v>
      </c>
    </row>
    <row r="35" spans="1:26">
      <c r="A35" s="3" t="s">
        <v>232</v>
      </c>
      <c r="B35" s="3">
        <v>1258</v>
      </c>
      <c r="C35" s="53">
        <v>0.12562276102088155</v>
      </c>
      <c r="D35" s="103">
        <v>0.12699179078704831</v>
      </c>
      <c r="E35" s="53">
        <v>9.4098181088869016E-3</v>
      </c>
      <c r="F35" s="103">
        <v>0.14231446288334368</v>
      </c>
      <c r="G35" s="104">
        <v>0.2776441797272336</v>
      </c>
      <c r="H35" s="54">
        <v>0.90644110399544486</v>
      </c>
      <c r="I35" s="53">
        <v>9.690287476610801E-2</v>
      </c>
      <c r="J35" s="53">
        <v>0.34608474286553148</v>
      </c>
      <c r="K35" s="53">
        <v>6.4354999999999996E-2</v>
      </c>
      <c r="L35" s="53">
        <v>0.76985807306097498</v>
      </c>
      <c r="M35" s="53">
        <v>5.9301035051348518E-2</v>
      </c>
      <c r="N35" s="54">
        <v>8.5866412970866848E-2</v>
      </c>
      <c r="O35" s="54">
        <v>14.427254021387071</v>
      </c>
      <c r="P35" s="54">
        <v>48.685477908120063</v>
      </c>
      <c r="Q35" s="54">
        <v>67.192850005900056</v>
      </c>
      <c r="R35" s="54">
        <v>2.2423073424556663</v>
      </c>
      <c r="S35" s="54">
        <v>75.538287711042699</v>
      </c>
      <c r="T35" s="3" t="s">
        <v>584</v>
      </c>
      <c r="U35" s="103">
        <v>6.6354678402591447E-2</v>
      </c>
      <c r="V35" s="53">
        <v>-7.3819923469829268E-2</v>
      </c>
      <c r="W35" s="103">
        <v>-0.6865570915945256</v>
      </c>
      <c r="X35" s="53">
        <v>0.18044609855817889</v>
      </c>
      <c r="Y35" s="53">
        <v>0.2575697213281396</v>
      </c>
      <c r="Z35" s="103">
        <v>1.3320000000000001</v>
      </c>
    </row>
    <row r="36" spans="1:26">
      <c r="A36" s="3" t="s">
        <v>233</v>
      </c>
      <c r="B36" s="3">
        <v>1657</v>
      </c>
      <c r="C36" s="53">
        <v>8.4663066322136285E-2</v>
      </c>
      <c r="D36" s="103">
        <v>7.7057899571405686E-2</v>
      </c>
      <c r="E36" s="53">
        <v>0.11456980803957247</v>
      </c>
      <c r="F36" s="103">
        <v>0.15586970668297653</v>
      </c>
      <c r="G36" s="104">
        <v>0.61262227849712791</v>
      </c>
      <c r="H36" s="54">
        <v>0.72111815648247701</v>
      </c>
      <c r="I36" s="53">
        <v>8.502367383052678E-2</v>
      </c>
      <c r="J36" s="53">
        <v>0.28613126653666682</v>
      </c>
      <c r="K36" s="53">
        <v>6.4354999999999996E-2</v>
      </c>
      <c r="L36" s="53">
        <v>0.25097433371859046</v>
      </c>
      <c r="M36" s="53">
        <v>7.5746819225059811E-2</v>
      </c>
      <c r="N36" s="54">
        <v>1.7590980021212301</v>
      </c>
      <c r="O36" s="54">
        <v>1.3920067294617591</v>
      </c>
      <c r="P36" s="54">
        <v>12.154853394418311</v>
      </c>
      <c r="Q36" s="54">
        <v>17.800402450275442</v>
      </c>
      <c r="R36" s="54">
        <v>2.2665404472388109</v>
      </c>
      <c r="S36" s="54">
        <v>46.464614561299086</v>
      </c>
      <c r="T36" s="53">
        <v>0.10527081694441977</v>
      </c>
      <c r="U36" s="103">
        <v>3.9433834241671337E-2</v>
      </c>
      <c r="V36" s="53">
        <v>2.540525481477706E-2</v>
      </c>
      <c r="W36" s="103">
        <v>0.61952641603318992</v>
      </c>
      <c r="X36" s="53">
        <v>9.9151351163687021E-2</v>
      </c>
      <c r="Y36" s="53">
        <v>0.6585422014379031</v>
      </c>
      <c r="Z36" s="103">
        <v>0.87719999999999998</v>
      </c>
    </row>
    <row r="37" spans="1:26">
      <c r="A37" s="3" t="s">
        <v>234</v>
      </c>
      <c r="B37" s="3">
        <v>173</v>
      </c>
      <c r="C37" s="53">
        <v>7.7620737704918022E-2</v>
      </c>
      <c r="D37" s="103">
        <v>2.465510737827644E-2</v>
      </c>
      <c r="E37" s="53">
        <v>0.10682869077036926</v>
      </c>
      <c r="F37" s="103">
        <v>0.17700875397813667</v>
      </c>
      <c r="G37" s="104">
        <v>0.49621392699558364</v>
      </c>
      <c r="H37" s="54">
        <v>0.66918428111740691</v>
      </c>
      <c r="I37" s="53">
        <v>8.1694712419625781E-2</v>
      </c>
      <c r="J37" s="53">
        <v>0.30822330506089052</v>
      </c>
      <c r="K37" s="53">
        <v>6.4354999999999996E-2</v>
      </c>
      <c r="L37" s="53">
        <v>0.36579861840107675</v>
      </c>
      <c r="M37" s="53">
        <v>6.9391295946975309E-2</v>
      </c>
      <c r="N37" s="54">
        <v>5.2660011730306495</v>
      </c>
      <c r="O37" s="54">
        <v>0.37040946105270611</v>
      </c>
      <c r="P37" s="54">
        <v>9.7054737615662035</v>
      </c>
      <c r="Q37" s="54">
        <v>14.908328811292225</v>
      </c>
      <c r="R37" s="54">
        <v>2.148424462767339</v>
      </c>
      <c r="S37" s="54">
        <v>49.788416639124691</v>
      </c>
      <c r="T37" s="53">
        <v>5.8735090381477825E-2</v>
      </c>
      <c r="U37" s="103">
        <v>1.2407395934016071E-2</v>
      </c>
      <c r="V37" s="53">
        <v>9.0395737255761013E-3</v>
      </c>
      <c r="W37" s="103">
        <v>0.48474528312897769</v>
      </c>
      <c r="X37" s="53">
        <v>8.9141667937208555E-2</v>
      </c>
      <c r="Y37" s="53">
        <v>0.56945565182432534</v>
      </c>
      <c r="Z37" s="103">
        <v>0.6089</v>
      </c>
    </row>
    <row r="38" spans="1:26">
      <c r="A38" s="3" t="s">
        <v>235</v>
      </c>
      <c r="B38" s="3">
        <v>383</v>
      </c>
      <c r="C38" s="53">
        <v>5.1528208955223892E-2</v>
      </c>
      <c r="D38" s="103">
        <v>7.2932416188093707E-2</v>
      </c>
      <c r="E38" s="53">
        <v>0.13128509792883256</v>
      </c>
      <c r="F38" s="103">
        <v>0.14366739006588516</v>
      </c>
      <c r="G38" s="104">
        <v>0.93432143008864488</v>
      </c>
      <c r="H38" s="54">
        <v>0.94909498548676219</v>
      </c>
      <c r="I38" s="53">
        <v>9.9636988569701462E-2</v>
      </c>
      <c r="J38" s="53">
        <v>0.29724029020693765</v>
      </c>
      <c r="K38" s="53">
        <v>6.4354999999999996E-2</v>
      </c>
      <c r="L38" s="53">
        <v>0.21842611560401576</v>
      </c>
      <c r="M38" s="53">
        <v>8.8371295887669149E-2</v>
      </c>
      <c r="N38" s="54">
        <v>2.0889192774633893</v>
      </c>
      <c r="O38" s="54">
        <v>1.0263903171402882</v>
      </c>
      <c r="P38" s="54">
        <v>9.7423343969953571</v>
      </c>
      <c r="Q38" s="54">
        <v>13.621346679027321</v>
      </c>
      <c r="R38" s="54">
        <v>2.0500313773089878</v>
      </c>
      <c r="S38" s="54">
        <v>37.844392452209227</v>
      </c>
      <c r="T38" s="53">
        <v>4.9111422471124627E-2</v>
      </c>
      <c r="U38" s="103">
        <v>2.4921896152994241E-2</v>
      </c>
      <c r="V38" s="53">
        <v>3.0953297052442055E-2</v>
      </c>
      <c r="W38" s="103">
        <v>0.53441064412846351</v>
      </c>
      <c r="X38" s="53">
        <v>0.11207479182881588</v>
      </c>
      <c r="Y38" s="53">
        <v>0.70048041958910656</v>
      </c>
      <c r="Z38" s="103">
        <v>0.62890000000000001</v>
      </c>
    </row>
    <row r="39" spans="1:26">
      <c r="A39" s="3" t="s">
        <v>236</v>
      </c>
      <c r="B39" s="3">
        <v>253</v>
      </c>
      <c r="C39" s="53">
        <v>0.1356263043478261</v>
      </c>
      <c r="D39" s="103">
        <v>0.29104956132609144</v>
      </c>
      <c r="E39" s="53">
        <v>7.1734086908301936E-2</v>
      </c>
      <c r="F39" s="103">
        <v>0.10477937580084162</v>
      </c>
      <c r="G39" s="104">
        <v>0.60906204827929356</v>
      </c>
      <c r="H39" s="54">
        <v>0.86538504824737184</v>
      </c>
      <c r="I39" s="53">
        <v>9.4271181592656544E-2</v>
      </c>
      <c r="J39" s="53">
        <v>0.33373654343742754</v>
      </c>
      <c r="K39" s="53">
        <v>6.4354999999999996E-2</v>
      </c>
      <c r="L39" s="53">
        <v>0.39204417303862843</v>
      </c>
      <c r="M39" s="53">
        <v>7.6154480221895957E-2</v>
      </c>
      <c r="N39" s="54">
        <v>0.27487754973856493</v>
      </c>
      <c r="O39" s="54">
        <v>7.4006674058734268</v>
      </c>
      <c r="P39" s="54">
        <v>13.945213693183824</v>
      </c>
      <c r="Q39" s="54">
        <v>22.786692369740855</v>
      </c>
      <c r="R39" s="54">
        <v>2.0118013936278087</v>
      </c>
      <c r="S39" s="54">
        <v>49.912197435728991</v>
      </c>
      <c r="T39" s="53">
        <v>9.7204348765701068E-2</v>
      </c>
      <c r="U39" s="103">
        <v>0.25434296265623013</v>
      </c>
      <c r="V39" s="53">
        <v>0.36675488468864414</v>
      </c>
      <c r="W39" s="103">
        <v>1.5213911510431768</v>
      </c>
      <c r="X39" s="53">
        <v>0.10750114708648668</v>
      </c>
      <c r="Y39" s="53">
        <v>0.66386814302251296</v>
      </c>
      <c r="Z39" s="103">
        <v>0.68510000000000004</v>
      </c>
    </row>
    <row r="40" spans="1:26">
      <c r="A40" s="3" t="s">
        <v>237</v>
      </c>
      <c r="B40" s="3">
        <v>849</v>
      </c>
      <c r="C40" s="53">
        <v>0.15227076604554862</v>
      </c>
      <c r="D40" s="103">
        <v>0.12495644070464412</v>
      </c>
      <c r="E40" s="53">
        <v>0.11043987670936686</v>
      </c>
      <c r="F40" s="103">
        <v>8.3346774134728047E-2</v>
      </c>
      <c r="G40" s="104">
        <v>1.0434097110903413</v>
      </c>
      <c r="H40" s="54">
        <v>1.098082283316312</v>
      </c>
      <c r="I40" s="53">
        <v>0.10918707436057561</v>
      </c>
      <c r="J40" s="53">
        <v>0.42342967151692168</v>
      </c>
      <c r="K40" s="53">
        <v>6.4354999999999996E-2</v>
      </c>
      <c r="L40" s="53">
        <v>0.11702454945172516</v>
      </c>
      <c r="M40" s="53">
        <v>0.10203374276993568</v>
      </c>
      <c r="N40" s="54">
        <v>0.93443822467200832</v>
      </c>
      <c r="O40" s="54">
        <v>4.4129152045299929</v>
      </c>
      <c r="P40" s="54">
        <v>20.066047522071429</v>
      </c>
      <c r="Q40" s="54">
        <v>33.885138474146686</v>
      </c>
      <c r="R40" s="54">
        <v>3.5770653286876031</v>
      </c>
      <c r="S40" s="54">
        <v>94.725775076678076</v>
      </c>
      <c r="T40" s="53">
        <v>0.25687716784940617</v>
      </c>
      <c r="U40" s="103">
        <v>9.7684912210769165E-2</v>
      </c>
      <c r="V40" s="53">
        <v>3.4683575243890569E-2</v>
      </c>
      <c r="W40" s="103">
        <v>0.67329218346160158</v>
      </c>
      <c r="X40" s="53">
        <v>7.5782160420110767E-2</v>
      </c>
      <c r="Y40" s="53">
        <v>0.50703233350245924</v>
      </c>
      <c r="Z40" s="103">
        <v>1.1255999999999999</v>
      </c>
    </row>
    <row r="41" spans="1:26">
      <c r="A41" s="3" t="s">
        <v>238</v>
      </c>
      <c r="B41" s="3">
        <v>463</v>
      </c>
      <c r="C41" s="53">
        <v>0.12621486891385769</v>
      </c>
      <c r="D41" s="103">
        <v>3.9054208751108446E-2</v>
      </c>
      <c r="E41" s="53">
        <v>0.28931239582267765</v>
      </c>
      <c r="F41" s="103">
        <v>0.14477474798525614</v>
      </c>
      <c r="G41" s="104">
        <v>0.82121098792821812</v>
      </c>
      <c r="H41" s="54">
        <v>0.91020463902819626</v>
      </c>
      <c r="I41" s="53">
        <v>9.7144117361707388E-2</v>
      </c>
      <c r="J41" s="53">
        <v>0.37805793675314886</v>
      </c>
      <c r="K41" s="53">
        <v>6.4354999999999996E-2</v>
      </c>
      <c r="L41" s="53">
        <v>0.23001142999201959</v>
      </c>
      <c r="M41" s="53">
        <v>8.585428156103396E-2</v>
      </c>
      <c r="N41" s="54">
        <v>8.6589822233698293</v>
      </c>
      <c r="O41" s="54">
        <v>0.60840308550508448</v>
      </c>
      <c r="P41" s="54">
        <v>11.056727598441423</v>
      </c>
      <c r="Q41" s="54">
        <v>15.221991037238867</v>
      </c>
      <c r="R41" s="54">
        <v>2.6222805850362048</v>
      </c>
      <c r="S41" s="54">
        <v>57.50089542846316</v>
      </c>
      <c r="T41" s="53">
        <v>-2.7295865370918826E-2</v>
      </c>
      <c r="U41" s="103">
        <v>1.5410618551876044E-2</v>
      </c>
      <c r="V41" s="53">
        <v>1.6595145817757926E-2</v>
      </c>
      <c r="W41" s="103">
        <v>0.57451390541094605</v>
      </c>
      <c r="X41" s="53">
        <v>0.12150320012763607</v>
      </c>
      <c r="Y41" s="53">
        <v>0.36882228936540518</v>
      </c>
      <c r="Z41" s="103">
        <v>0.57069999999999999</v>
      </c>
    </row>
    <row r="42" spans="1:26">
      <c r="A42" s="3" t="s">
        <v>239</v>
      </c>
      <c r="B42" s="3">
        <v>443</v>
      </c>
      <c r="C42" s="53">
        <v>0.16608049792531127</v>
      </c>
      <c r="D42" s="103">
        <v>0.13632577050135741</v>
      </c>
      <c r="E42" s="53">
        <v>0.12755597641996128</v>
      </c>
      <c r="F42" s="103">
        <v>6.1312142214532628E-2</v>
      </c>
      <c r="G42" s="104">
        <v>1.1706770255280208</v>
      </c>
      <c r="H42" s="54">
        <v>1.2336178357798584</v>
      </c>
      <c r="I42" s="53">
        <v>0.11787490327348893</v>
      </c>
      <c r="J42" s="53">
        <v>0.44932940143243788</v>
      </c>
      <c r="K42" s="53">
        <v>6.4354999999999996E-2</v>
      </c>
      <c r="L42" s="53">
        <v>0.12088709657117508</v>
      </c>
      <c r="M42" s="53">
        <v>0.10943522027790775</v>
      </c>
      <c r="N42" s="54">
        <v>0.98068088541117582</v>
      </c>
      <c r="O42" s="54">
        <v>5.2454773109882984</v>
      </c>
      <c r="P42" s="54">
        <v>21.657557844698783</v>
      </c>
      <c r="Q42" s="54">
        <v>36.682736929477983</v>
      </c>
      <c r="R42" s="54">
        <v>3.9372988306267311</v>
      </c>
      <c r="S42" s="54">
        <v>128.07264346669311</v>
      </c>
      <c r="T42" s="53">
        <v>0.2389800084815025</v>
      </c>
      <c r="U42" s="103">
        <v>0.18777212825730508</v>
      </c>
      <c r="V42" s="53">
        <v>6.1350006469499251E-2</v>
      </c>
      <c r="W42" s="103">
        <v>0.71590477768051486</v>
      </c>
      <c r="X42" s="53">
        <v>6.025565979669429E-2</v>
      </c>
      <c r="Y42" s="53">
        <v>0.24427342031412549</v>
      </c>
      <c r="Z42" s="103">
        <v>1.2165999999999999</v>
      </c>
    </row>
    <row r="43" spans="1:26">
      <c r="A43" s="3" t="s">
        <v>240</v>
      </c>
      <c r="B43" s="3">
        <v>173</v>
      </c>
      <c r="C43" s="53">
        <v>7.8341888111888122E-2</v>
      </c>
      <c r="D43" s="103">
        <v>0.12794609050462979</v>
      </c>
      <c r="E43" s="53">
        <v>0.14415922427185879</v>
      </c>
      <c r="F43" s="103">
        <v>0.18872652923726166</v>
      </c>
      <c r="G43" s="104">
        <v>1.0113882281398234</v>
      </c>
      <c r="H43" s="54">
        <v>1.094707449030331</v>
      </c>
      <c r="I43" s="53">
        <v>0.10897074748284423</v>
      </c>
      <c r="J43" s="53">
        <v>0.28965125158318689</v>
      </c>
      <c r="K43" s="53">
        <v>6.4354999999999996E-2</v>
      </c>
      <c r="L43" s="53">
        <v>0.2310829232799077</v>
      </c>
      <c r="M43" s="53">
        <v>9.4895386455382216E-2</v>
      </c>
      <c r="N43" s="54">
        <v>1.3895015946994185</v>
      </c>
      <c r="O43" s="54">
        <v>1.1836835844750719</v>
      </c>
      <c r="P43" s="54">
        <v>8.0294493119680102</v>
      </c>
      <c r="Q43" s="54">
        <v>9.1651713540934789</v>
      </c>
      <c r="R43" s="54">
        <v>1.5788152644485345</v>
      </c>
      <c r="S43" s="54">
        <v>20.550712047888325</v>
      </c>
      <c r="T43" s="53">
        <v>0.60934413809759824</v>
      </c>
      <c r="U43" s="103">
        <v>5.5436818757800353E-3</v>
      </c>
      <c r="V43" s="53">
        <v>5.1463807767742845E-3</v>
      </c>
      <c r="W43" s="103">
        <v>0.2028709193735046</v>
      </c>
      <c r="X43" s="53">
        <v>0.16610003799748513</v>
      </c>
      <c r="Y43" s="53">
        <v>0.18138712820097366</v>
      </c>
      <c r="Z43" s="103">
        <v>0.77459999999999996</v>
      </c>
    </row>
    <row r="44" spans="1:26">
      <c r="A44" s="3" t="s">
        <v>241</v>
      </c>
      <c r="B44" s="3">
        <v>232</v>
      </c>
      <c r="C44" s="53">
        <v>0.11022302631578944</v>
      </c>
      <c r="D44" s="103">
        <v>0.10761310643119647</v>
      </c>
      <c r="E44" s="53">
        <v>0.12323476437453092</v>
      </c>
      <c r="F44" s="103">
        <v>0.17181315298349481</v>
      </c>
      <c r="G44" s="104">
        <v>0.5802219144187124</v>
      </c>
      <c r="H44" s="54">
        <v>0.76494921443065134</v>
      </c>
      <c r="I44" s="53">
        <v>8.7833244645004749E-2</v>
      </c>
      <c r="J44" s="53">
        <v>0.29529431178708559</v>
      </c>
      <c r="K44" s="53">
        <v>6.4354999999999996E-2</v>
      </c>
      <c r="L44" s="53">
        <v>0.32208491721063115</v>
      </c>
      <c r="M44" s="53">
        <v>7.502298357098422E-2</v>
      </c>
      <c r="N44" s="54">
        <v>1.3816578903093077</v>
      </c>
      <c r="O44" s="54">
        <v>2.3100825241398097</v>
      </c>
      <c r="P44" s="54">
        <v>12.437422816930145</v>
      </c>
      <c r="Q44" s="54">
        <v>20.576674304329792</v>
      </c>
      <c r="R44" s="54">
        <v>4.0772283903041666</v>
      </c>
      <c r="S44" s="54">
        <v>41.979480731891236</v>
      </c>
      <c r="T44" s="53">
        <v>6.9638858534704903E-2</v>
      </c>
      <c r="U44" s="103">
        <v>3.7465617423834127E-2</v>
      </c>
      <c r="V44" s="53">
        <v>2.4492221939418666E-2</v>
      </c>
      <c r="W44" s="103">
        <v>0.40774981615374539</v>
      </c>
      <c r="X44" s="53">
        <v>0.1194972327229354</v>
      </c>
      <c r="Y44" s="53">
        <v>0.45894118236118964</v>
      </c>
      <c r="Z44" s="103">
        <v>1.0028999999999999</v>
      </c>
    </row>
    <row r="45" spans="1:26">
      <c r="A45" s="3" t="s">
        <v>242</v>
      </c>
      <c r="B45" s="3">
        <v>650</v>
      </c>
      <c r="C45" s="53">
        <v>3.4793381147540978E-2</v>
      </c>
      <c r="D45" s="103">
        <v>0.12148517283912517</v>
      </c>
      <c r="E45" s="53">
        <v>8.265390639495232E-2</v>
      </c>
      <c r="F45" s="103">
        <v>0.11825805716497438</v>
      </c>
      <c r="G45" s="104">
        <v>0.78536962610461014</v>
      </c>
      <c r="H45" s="54">
        <v>0.97912748286770979</v>
      </c>
      <c r="I45" s="53">
        <v>0.1015620716518202</v>
      </c>
      <c r="J45" s="53">
        <v>0.33832876960999636</v>
      </c>
      <c r="K45" s="53">
        <v>6.4354999999999996E-2</v>
      </c>
      <c r="L45" s="53">
        <v>0.31642144634643121</v>
      </c>
      <c r="M45" s="53">
        <v>8.4632968113555002E-2</v>
      </c>
      <c r="N45" s="54">
        <v>0.75800943092181328</v>
      </c>
      <c r="O45" s="54">
        <v>3.5637067515271936</v>
      </c>
      <c r="P45" s="54">
        <v>15.089381235478534</v>
      </c>
      <c r="Q45" s="54">
        <v>28.372077561065506</v>
      </c>
      <c r="R45" s="54">
        <v>3.9615827071660785</v>
      </c>
      <c r="S45" s="54">
        <v>60.185329176533351</v>
      </c>
      <c r="T45" s="53">
        <v>-1.9780753051029248E-2</v>
      </c>
      <c r="U45" s="103">
        <v>8.1575691891312072E-3</v>
      </c>
      <c r="V45" s="53">
        <v>8.460904068733224E-3</v>
      </c>
      <c r="W45" s="103">
        <v>0.16016478095524214</v>
      </c>
      <c r="X45" s="53">
        <v>0.10909196658632202</v>
      </c>
      <c r="Y45" s="53">
        <v>0.27136929836694884</v>
      </c>
      <c r="Z45" s="103">
        <v>0.57350000000000001</v>
      </c>
    </row>
    <row r="46" spans="1:26">
      <c r="A46" s="3" t="s">
        <v>243</v>
      </c>
      <c r="B46" s="3">
        <v>178</v>
      </c>
      <c r="C46" s="53">
        <v>3.9548646616541346E-2</v>
      </c>
      <c r="D46" s="103">
        <v>0.16660125121747063</v>
      </c>
      <c r="E46" s="53">
        <v>0.25243132693267323</v>
      </c>
      <c r="F46" s="103">
        <v>0.14800048713873332</v>
      </c>
      <c r="G46" s="104">
        <v>0.67520464252812851</v>
      </c>
      <c r="H46" s="54">
        <v>0.72747137702950271</v>
      </c>
      <c r="I46" s="53">
        <v>8.5430915267591126E-2</v>
      </c>
      <c r="J46" s="53">
        <v>0.29781296073261149</v>
      </c>
      <c r="K46" s="53">
        <v>6.4354999999999996E-2</v>
      </c>
      <c r="L46" s="53">
        <v>0.13333771641577577</v>
      </c>
      <c r="M46" s="53">
        <v>8.0448004633486031E-2</v>
      </c>
      <c r="N46" s="54">
        <v>1.7783180364776956</v>
      </c>
      <c r="O46" s="54">
        <v>3.1017983609088646</v>
      </c>
      <c r="P46" s="54">
        <v>15.108858578061582</v>
      </c>
      <c r="Q46" s="54">
        <v>18.460413376699474</v>
      </c>
      <c r="R46" s="54">
        <v>6.0419945471550296</v>
      </c>
      <c r="S46" s="54">
        <v>53.668868712038581</v>
      </c>
      <c r="T46" s="53">
        <v>5.3235793969237562E-2</v>
      </c>
      <c r="U46" s="103">
        <v>2.1690463776742441E-2</v>
      </c>
      <c r="V46" s="53">
        <v>1.3238666896878337E-2</v>
      </c>
      <c r="W46" s="103">
        <v>7.0553053513611574E-2</v>
      </c>
      <c r="X46" s="53">
        <v>0.26800939213262565</v>
      </c>
      <c r="Y46" s="53">
        <v>0.65689100844343251</v>
      </c>
      <c r="Z46" s="103">
        <v>0.3548</v>
      </c>
    </row>
    <row r="47" spans="1:26">
      <c r="A47" s="3" t="s">
        <v>244</v>
      </c>
      <c r="B47" s="3">
        <v>81</v>
      </c>
      <c r="C47" s="53">
        <v>2.0683617021276589E-2</v>
      </c>
      <c r="D47" s="103">
        <v>0.11283966813223123</v>
      </c>
      <c r="E47" s="53">
        <v>0.21875033210744055</v>
      </c>
      <c r="F47" s="103">
        <v>0.16585514761820333</v>
      </c>
      <c r="G47" s="104">
        <v>1.0228619556904517</v>
      </c>
      <c r="H47" s="54">
        <v>1.2103298958985118</v>
      </c>
      <c r="I47" s="53">
        <v>0.11638214632709461</v>
      </c>
      <c r="J47" s="53">
        <v>0.33631953220947924</v>
      </c>
      <c r="K47" s="53">
        <v>6.4354999999999996E-2</v>
      </c>
      <c r="L47" s="53">
        <v>0.25719480780938697</v>
      </c>
      <c r="M47" s="53">
        <v>9.881012579254235E-2</v>
      </c>
      <c r="N47" s="54">
        <v>2.3003858434396283</v>
      </c>
      <c r="O47" s="54">
        <v>1.9345203801039386</v>
      </c>
      <c r="P47" s="54">
        <v>11.38060048642396</v>
      </c>
      <c r="Q47" s="54">
        <v>16.969841193408303</v>
      </c>
      <c r="R47" s="54">
        <v>3.3749990528836591</v>
      </c>
      <c r="S47" s="54">
        <v>143.50472685181344</v>
      </c>
      <c r="T47" s="53">
        <v>0.14317420782326645</v>
      </c>
      <c r="U47" s="103">
        <v>4.094854330100154E-2</v>
      </c>
      <c r="V47" s="53">
        <v>-1.3947351432358736E-2</v>
      </c>
      <c r="W47" s="103">
        <v>1.4962129840574126E-3</v>
      </c>
      <c r="X47" s="53">
        <v>8.9820800042825985E-2</v>
      </c>
      <c r="Y47" s="53">
        <v>0.55284058091686328</v>
      </c>
      <c r="Z47" s="103">
        <v>0.25440000000000002</v>
      </c>
    </row>
    <row r="48" spans="1:26">
      <c r="A48" s="3" t="s">
        <v>245</v>
      </c>
      <c r="B48" s="3">
        <v>202</v>
      </c>
      <c r="C48" s="53">
        <v>8.4602603550295863E-2</v>
      </c>
      <c r="D48" s="103">
        <v>0.11840540179390673</v>
      </c>
      <c r="E48" s="53">
        <v>0.1815670557202762</v>
      </c>
      <c r="F48" s="103">
        <v>0.15238045010153375</v>
      </c>
      <c r="G48" s="104">
        <v>0.62939429078398101</v>
      </c>
      <c r="H48" s="54">
        <v>0.68507622266360246</v>
      </c>
      <c r="I48" s="53">
        <v>8.2713385872736925E-2</v>
      </c>
      <c r="J48" s="53">
        <v>0.24786892322452811</v>
      </c>
      <c r="K48" s="53">
        <v>5.8542999999999998E-2</v>
      </c>
      <c r="L48" s="53">
        <v>0.26006451089662946</v>
      </c>
      <c r="M48" s="53">
        <v>7.2572567265888899E-2</v>
      </c>
      <c r="N48" s="54">
        <v>1.8091101184233098</v>
      </c>
      <c r="O48" s="54">
        <v>1.169134129847309</v>
      </c>
      <c r="P48" s="54">
        <v>8.1421543031470112</v>
      </c>
      <c r="Q48" s="54">
        <v>8.5980381763760416</v>
      </c>
      <c r="R48" s="54">
        <v>1.7824284117595675</v>
      </c>
      <c r="S48" s="54">
        <v>22.772643938729356</v>
      </c>
      <c r="T48" s="53">
        <v>-1.5909868291309952E-2</v>
      </c>
      <c r="U48" s="103">
        <v>1.2234780105357555E-3</v>
      </c>
      <c r="V48" s="53">
        <v>4.2288337720457351E-3</v>
      </c>
      <c r="W48" s="103">
        <v>2.0168608230211157E-2</v>
      </c>
      <c r="X48" s="53">
        <v>0.15203983853675418</v>
      </c>
      <c r="Y48" s="53">
        <v>0.4245453994262916</v>
      </c>
      <c r="Z48" s="103">
        <v>0.10249999999999999</v>
      </c>
    </row>
    <row r="49" spans="1:26">
      <c r="A49" s="3" t="s">
        <v>246</v>
      </c>
      <c r="B49" s="3">
        <v>137</v>
      </c>
      <c r="C49" s="53">
        <v>8.2657570093457935E-2</v>
      </c>
      <c r="D49" s="103">
        <v>0.10832802165624872</v>
      </c>
      <c r="E49" s="53">
        <v>9.6416580120373102E-2</v>
      </c>
      <c r="F49" s="103">
        <v>0.13664672979645745</v>
      </c>
      <c r="G49" s="104">
        <v>0.7749958133235606</v>
      </c>
      <c r="H49" s="54">
        <v>0.88662318345492797</v>
      </c>
      <c r="I49" s="53">
        <v>9.5632546059460893E-2</v>
      </c>
      <c r="J49" s="53">
        <v>0.25290884975248129</v>
      </c>
      <c r="K49" s="53">
        <v>6.4354999999999996E-2</v>
      </c>
      <c r="L49" s="53">
        <v>0.50932175441628835</v>
      </c>
      <c r="M49" s="53">
        <v>7.1402973365437467E-2</v>
      </c>
      <c r="N49" s="54">
        <v>1.0309138465092278</v>
      </c>
      <c r="O49" s="54">
        <v>1.0625828777250275</v>
      </c>
      <c r="P49" s="54">
        <v>7.2156792634234428</v>
      </c>
      <c r="Q49" s="54">
        <v>8.8058900860566141</v>
      </c>
      <c r="R49" s="54">
        <v>1.1248722994828504</v>
      </c>
      <c r="S49" s="54">
        <v>45.466420035837494</v>
      </c>
      <c r="T49" s="53">
        <v>-0.96189182737838586</v>
      </c>
      <c r="U49" s="103">
        <v>6.0496076868057202E-3</v>
      </c>
      <c r="V49" s="53">
        <v>4.7986822649044936E-3</v>
      </c>
      <c r="W49" s="103">
        <v>-7.8830681023021473E-2</v>
      </c>
      <c r="X49" s="53">
        <v>7.4159728954237961E-2</v>
      </c>
      <c r="Y49" s="53">
        <v>0.6190700745883686</v>
      </c>
      <c r="Z49" s="103">
        <v>0.16700000000000001</v>
      </c>
    </row>
    <row r="50" spans="1:26">
      <c r="A50" s="3" t="s">
        <v>247</v>
      </c>
      <c r="B50" s="3">
        <v>228</v>
      </c>
      <c r="C50" s="53">
        <v>9.0641658031088077E-2</v>
      </c>
      <c r="D50" s="103">
        <v>9.7921920811046684E-2</v>
      </c>
      <c r="E50" s="53">
        <v>0.13311212828485519</v>
      </c>
      <c r="F50" s="103">
        <v>0.17569629235212295</v>
      </c>
      <c r="G50" s="104">
        <v>0.66476894823629862</v>
      </c>
      <c r="H50" s="54">
        <v>0.71082250665406388</v>
      </c>
      <c r="I50" s="53">
        <v>8.4363722676525504E-2</v>
      </c>
      <c r="J50" s="53">
        <v>0.26743776755542148</v>
      </c>
      <c r="K50" s="53">
        <v>6.4354999999999996E-2</v>
      </c>
      <c r="L50" s="53">
        <v>0.18249067562498464</v>
      </c>
      <c r="M50" s="53">
        <v>7.7738689099656436E-2</v>
      </c>
      <c r="N50" s="54">
        <v>1.6491131323911132</v>
      </c>
      <c r="O50" s="54">
        <v>1.1297486196935083</v>
      </c>
      <c r="P50" s="54">
        <v>9.2472286919352698</v>
      </c>
      <c r="Q50" s="54">
        <v>10.817649285030543</v>
      </c>
      <c r="R50" s="54">
        <v>1.5899488639029249</v>
      </c>
      <c r="S50" s="54">
        <v>19.552938187213641</v>
      </c>
      <c r="T50" s="53">
        <v>-0.28476029827138211</v>
      </c>
      <c r="U50" s="103">
        <v>1.293375445952712E-2</v>
      </c>
      <c r="V50" s="53">
        <v>-3.1311810875102627E-3</v>
      </c>
      <c r="W50" s="103">
        <v>0.19017906155847933</v>
      </c>
      <c r="X50" s="53">
        <v>0.12312293515838731</v>
      </c>
      <c r="Y50" s="53">
        <v>0.31767302616536391</v>
      </c>
      <c r="Z50" s="103">
        <v>9.8400000000000001E-2</v>
      </c>
    </row>
    <row r="51" spans="1:26">
      <c r="A51" s="3" t="s">
        <v>248</v>
      </c>
      <c r="B51" s="3">
        <v>1374</v>
      </c>
      <c r="C51" s="53">
        <v>0.11473422264875235</v>
      </c>
      <c r="D51" s="103">
        <v>0.1751608622389734</v>
      </c>
      <c r="E51" s="53">
        <v>5.5770237112366595E-2</v>
      </c>
      <c r="F51" s="103">
        <v>8.6157146301569357E-2</v>
      </c>
      <c r="G51" s="104">
        <v>0.53979286446123986</v>
      </c>
      <c r="H51" s="54">
        <v>0.7538219195489253</v>
      </c>
      <c r="I51" s="53">
        <v>8.7119985043086115E-2</v>
      </c>
      <c r="J51" s="53">
        <v>0.29524731282444133</v>
      </c>
      <c r="K51" s="53">
        <v>6.4354999999999996E-2</v>
      </c>
      <c r="L51" s="53">
        <v>0.42424609492116599</v>
      </c>
      <c r="M51" s="53">
        <v>7.0549072134151486E-2</v>
      </c>
      <c r="N51" s="54">
        <v>0.34866273077820698</v>
      </c>
      <c r="O51" s="54">
        <v>4.6552157668738818</v>
      </c>
      <c r="P51" s="54">
        <v>16.809441335551345</v>
      </c>
      <c r="Q51" s="54">
        <v>20.170578625395265</v>
      </c>
      <c r="R51" s="54">
        <v>1.3814510990522937</v>
      </c>
      <c r="S51" s="54">
        <v>56.350072695147695</v>
      </c>
      <c r="T51" s="3" t="s">
        <v>584</v>
      </c>
      <c r="U51" s="103">
        <v>4.1675217813524415E-2</v>
      </c>
      <c r="V51" s="53">
        <v>7.6788117841486078E-2</v>
      </c>
      <c r="W51" s="103">
        <v>0.52420609676460339</v>
      </c>
      <c r="X51" s="53">
        <v>0.10448446992594369</v>
      </c>
      <c r="Y51" s="53">
        <v>0.56047596516159481</v>
      </c>
      <c r="Z51" s="103">
        <v>0.63490000000000002</v>
      </c>
    </row>
    <row r="52" spans="1:26">
      <c r="A52" s="3" t="s">
        <v>249</v>
      </c>
      <c r="B52" s="3">
        <v>1492</v>
      </c>
      <c r="C52" s="53">
        <v>6.0736806953339488E-2</v>
      </c>
      <c r="D52" s="103">
        <v>9.9654861688777852E-2</v>
      </c>
      <c r="E52" s="53">
        <v>0.12714981972762704</v>
      </c>
      <c r="F52" s="103">
        <v>0.14714515530435868</v>
      </c>
      <c r="G52" s="104">
        <v>1.0383610269809804</v>
      </c>
      <c r="H52" s="54">
        <v>1.0707088534325078</v>
      </c>
      <c r="I52" s="53">
        <v>0.10743243750502375</v>
      </c>
      <c r="J52" s="53">
        <v>0.29756519697738837</v>
      </c>
      <c r="K52" s="53">
        <v>6.4354999999999996E-2</v>
      </c>
      <c r="L52" s="53">
        <v>0.13307684167690589</v>
      </c>
      <c r="M52" s="53">
        <v>9.9531382825323991E-2</v>
      </c>
      <c r="N52" s="54">
        <v>1.4758444913873308</v>
      </c>
      <c r="O52" s="54">
        <v>2.1520511804771969</v>
      </c>
      <c r="P52" s="54">
        <v>14.740091472662543</v>
      </c>
      <c r="Q52" s="54">
        <v>20.507888137578245</v>
      </c>
      <c r="R52" s="54">
        <v>2.9318971669892666</v>
      </c>
      <c r="S52" s="54">
        <v>59.821455161114287</v>
      </c>
      <c r="T52" s="53">
        <v>0.28320474661866296</v>
      </c>
      <c r="U52" s="103">
        <v>3.0665116726434054E-2</v>
      </c>
      <c r="V52" s="53">
        <v>4.2353512106588428E-2</v>
      </c>
      <c r="W52" s="103">
        <v>0.91591251057606826</v>
      </c>
      <c r="X52" s="53">
        <v>0.11997300767360307</v>
      </c>
      <c r="Y52" s="53">
        <v>0.41450280864813127</v>
      </c>
      <c r="Z52" s="103">
        <v>0.92400000000000004</v>
      </c>
    </row>
    <row r="53" spans="1:26">
      <c r="A53" s="3" t="s">
        <v>250</v>
      </c>
      <c r="B53" s="3">
        <v>1815</v>
      </c>
      <c r="C53" s="53">
        <v>0.19804777777777752</v>
      </c>
      <c r="D53" s="103">
        <v>0.10682417967215141</v>
      </c>
      <c r="E53" s="53">
        <v>0.14836568932569863</v>
      </c>
      <c r="F53" s="103">
        <v>3.9029022718947336E-2</v>
      </c>
      <c r="G53" s="104">
        <v>0.98882838286003538</v>
      </c>
      <c r="H53" s="54">
        <v>1.0907339755589991</v>
      </c>
      <c r="I53" s="53">
        <v>0.10871604783333184</v>
      </c>
      <c r="J53" s="53">
        <v>0.57513373902119769</v>
      </c>
      <c r="K53" s="53">
        <v>6.7024E-2</v>
      </c>
      <c r="L53" s="53">
        <v>0.21730036180967932</v>
      </c>
      <c r="M53" s="53">
        <v>9.5968660005839604E-2</v>
      </c>
      <c r="N53" s="54">
        <v>1.4403961344658236</v>
      </c>
      <c r="O53" s="54">
        <v>1.3218409435391527</v>
      </c>
      <c r="P53" s="54">
        <v>7.8168870617573027</v>
      </c>
      <c r="Q53" s="54">
        <v>11.719208861545544</v>
      </c>
      <c r="R53" s="54">
        <v>1.8383154452637784</v>
      </c>
      <c r="S53" s="54">
        <v>54.204297468339057</v>
      </c>
      <c r="T53" s="53">
        <v>0.11976332846375269</v>
      </c>
      <c r="U53" s="103">
        <v>3.024735011445874E-2</v>
      </c>
      <c r="V53" s="53">
        <v>4.8951300244026628E-2</v>
      </c>
      <c r="W53" s="103">
        <v>0.84861810600502985</v>
      </c>
      <c r="X53" s="53">
        <v>0.10498912521603543</v>
      </c>
      <c r="Y53" s="53">
        <v>0.85950262197204541</v>
      </c>
      <c r="Z53" s="103">
        <v>0.58720000000000006</v>
      </c>
    </row>
    <row r="54" spans="1:26">
      <c r="A54" s="3" t="s">
        <v>251</v>
      </c>
      <c r="B54" s="3">
        <v>137</v>
      </c>
      <c r="C54" s="53">
        <v>7.1007029702970265E-2</v>
      </c>
      <c r="D54" s="103">
        <v>7.1825402418636691E-2</v>
      </c>
      <c r="E54" s="53">
        <v>0.11212639112128629</v>
      </c>
      <c r="F54" s="103">
        <v>0.19433541841163088</v>
      </c>
      <c r="G54" s="104">
        <v>0.77554815342767547</v>
      </c>
      <c r="H54" s="54">
        <v>0.82887590656792509</v>
      </c>
      <c r="I54" s="53">
        <v>9.1930945611004011E-2</v>
      </c>
      <c r="J54" s="53">
        <v>0.2790876657137058</v>
      </c>
      <c r="K54" s="53">
        <v>6.4354999999999996E-2</v>
      </c>
      <c r="L54" s="53">
        <v>0.22256683686744955</v>
      </c>
      <c r="M54" s="53">
        <v>8.2166797901965696E-2</v>
      </c>
      <c r="N54" s="54">
        <v>1.9486920792014812</v>
      </c>
      <c r="O54" s="54">
        <v>1.0643054466715693</v>
      </c>
      <c r="P54" s="54">
        <v>9.43316440474951</v>
      </c>
      <c r="Q54" s="54">
        <v>14.408234304339361</v>
      </c>
      <c r="R54" s="54">
        <v>1.8408621168699564</v>
      </c>
      <c r="S54" s="54">
        <v>148.70651436275134</v>
      </c>
      <c r="T54" s="53">
        <v>0.13322722592940051</v>
      </c>
      <c r="U54" s="103">
        <v>4.9158187660709347E-2</v>
      </c>
      <c r="V54" s="53">
        <v>1.6106125519195953E-2</v>
      </c>
      <c r="W54" s="103">
        <v>0.30437740451249901</v>
      </c>
      <c r="X54" s="53">
        <v>8.2629468165346887E-2</v>
      </c>
      <c r="Y54" s="53">
        <v>0.52401832957131256</v>
      </c>
      <c r="Z54" s="103">
        <v>0.82889999999999997</v>
      </c>
    </row>
    <row r="55" spans="1:26">
      <c r="A55" s="3" t="s">
        <v>252</v>
      </c>
      <c r="B55" s="3">
        <v>36</v>
      </c>
      <c r="C55" s="53">
        <v>0.17374848484848482</v>
      </c>
      <c r="D55" s="103">
        <v>0.18376015438632376</v>
      </c>
      <c r="E55" s="53">
        <v>0.21955647007213316</v>
      </c>
      <c r="F55" s="103">
        <v>0.28030333693895237</v>
      </c>
      <c r="G55" s="104">
        <v>0.93789803915060777</v>
      </c>
      <c r="H55" s="54">
        <v>0.99082952615484288</v>
      </c>
      <c r="I55" s="53">
        <v>0.10231217262652544</v>
      </c>
      <c r="J55" s="53">
        <v>0.26835269009888651</v>
      </c>
      <c r="K55" s="53">
        <v>6.4354999999999996E-2</v>
      </c>
      <c r="L55" s="53">
        <v>0.14876666788463416</v>
      </c>
      <c r="M55" s="53">
        <v>9.424130439210901E-2</v>
      </c>
      <c r="N55" s="54">
        <v>1.6577440240335313</v>
      </c>
      <c r="O55" s="54">
        <v>1.2699079204434363</v>
      </c>
      <c r="P55" s="54">
        <v>5.329375681172027</v>
      </c>
      <c r="Q55" s="54">
        <v>6.9103766360635088</v>
      </c>
      <c r="R55" s="54">
        <v>1.9959989938763145</v>
      </c>
      <c r="S55" s="54">
        <v>14.031826818454119</v>
      </c>
      <c r="T55" s="53">
        <v>3.2549087570827216E-2</v>
      </c>
      <c r="U55" s="103">
        <v>-9.8096557657455698E-3</v>
      </c>
      <c r="V55" s="53">
        <v>1.7882863221327785E-2</v>
      </c>
      <c r="W55" s="103">
        <v>0.1470972992362721</v>
      </c>
      <c r="X55" s="53">
        <v>0.21117990075672649</v>
      </c>
      <c r="Y55" s="53">
        <v>0.48938589191024878</v>
      </c>
      <c r="Z55" s="103">
        <v>0.3679</v>
      </c>
    </row>
    <row r="56" spans="1:26">
      <c r="A56" s="3" t="s">
        <v>253</v>
      </c>
      <c r="B56" s="3">
        <v>590</v>
      </c>
      <c r="C56" s="53">
        <v>0.26669155223880614</v>
      </c>
      <c r="D56" s="103">
        <v>0.36579614407040528</v>
      </c>
      <c r="E56" s="53">
        <v>0.24158267687634824</v>
      </c>
      <c r="F56" s="103">
        <v>8.5492341976096745E-2</v>
      </c>
      <c r="G56" s="104">
        <v>0.96400287636378446</v>
      </c>
      <c r="H56" s="54">
        <v>1.088855941735434</v>
      </c>
      <c r="I56" s="53">
        <v>0.10859566586524133</v>
      </c>
      <c r="J56" s="53">
        <v>0.48387766980457797</v>
      </c>
      <c r="K56" s="53">
        <v>6.4354999999999996E-2</v>
      </c>
      <c r="L56" s="53">
        <v>0.21367468576413548</v>
      </c>
      <c r="M56" s="53">
        <v>9.5660793577814512E-2</v>
      </c>
      <c r="N56" s="54">
        <v>0.72177787759688772</v>
      </c>
      <c r="O56" s="54">
        <v>2.3810527342876315</v>
      </c>
      <c r="P56" s="54">
        <v>4.2234317999172477</v>
      </c>
      <c r="Q56" s="54">
        <v>6.3968445728922925</v>
      </c>
      <c r="R56" s="54">
        <v>1.5420415249160988</v>
      </c>
      <c r="S56" s="54">
        <v>17.550483815303338</v>
      </c>
      <c r="T56" s="53">
        <v>1.1379439275655217E-2</v>
      </c>
      <c r="U56" s="103">
        <v>4.4157296385609144E-3</v>
      </c>
      <c r="V56" s="53">
        <v>0.14230625112830322</v>
      </c>
      <c r="W56" s="103">
        <v>0.53680367572185095</v>
      </c>
      <c r="X56" s="53">
        <v>0.21873526979182842</v>
      </c>
      <c r="Y56" s="53">
        <v>0.38354605719548041</v>
      </c>
      <c r="Z56" s="103">
        <v>1.3816999999999999</v>
      </c>
    </row>
    <row r="57" spans="1:26">
      <c r="A57" s="3" t="s">
        <v>254</v>
      </c>
      <c r="B57" s="3">
        <v>174</v>
      </c>
      <c r="C57" s="53">
        <v>0.14224071428571419</v>
      </c>
      <c r="D57" s="103">
        <v>0.20734150600747464</v>
      </c>
      <c r="E57" s="53">
        <v>0.12634031115186051</v>
      </c>
      <c r="F57" s="103">
        <v>0.132575761886329</v>
      </c>
      <c r="G57" s="104">
        <v>0.58306892157959134</v>
      </c>
      <c r="H57" s="54">
        <v>0.85477327531748326</v>
      </c>
      <c r="I57" s="53">
        <v>9.3590966947850684E-2</v>
      </c>
      <c r="J57" s="53">
        <v>0.29604834790023915</v>
      </c>
      <c r="K57" s="53">
        <v>6.4354999999999996E-2</v>
      </c>
      <c r="L57" s="53">
        <v>0.41344813826810339</v>
      </c>
      <c r="M57" s="53">
        <v>7.4766403252430683E-2</v>
      </c>
      <c r="N57" s="54">
        <v>0.70119353498470294</v>
      </c>
      <c r="O57" s="54">
        <v>2.4350441266320879</v>
      </c>
      <c r="P57" s="54">
        <v>8.6538309913820974</v>
      </c>
      <c r="Q57" s="54">
        <v>11.667657427910877</v>
      </c>
      <c r="R57" s="54">
        <v>1.7319473403576051</v>
      </c>
      <c r="S57" s="54">
        <v>379.61372013410056</v>
      </c>
      <c r="T57" s="53">
        <v>4.0400031397025173E-2</v>
      </c>
      <c r="U57" s="103">
        <v>3.6244249060791482E-2</v>
      </c>
      <c r="V57" s="53">
        <v>8.0230525406116748E-2</v>
      </c>
      <c r="W57" s="103">
        <v>0.47879736709681725</v>
      </c>
      <c r="X57" s="53">
        <v>0.19802991406641668</v>
      </c>
      <c r="Y57" s="53">
        <v>0.58133831922958967</v>
      </c>
      <c r="Z57" s="103">
        <v>1.0173000000000001</v>
      </c>
    </row>
    <row r="58" spans="1:26">
      <c r="A58" s="3" t="s">
        <v>255</v>
      </c>
      <c r="B58" s="3">
        <v>444</v>
      </c>
      <c r="C58" s="53">
        <v>7.7933924418604542E-2</v>
      </c>
      <c r="D58" s="103">
        <v>6.7723004922763827E-2</v>
      </c>
      <c r="E58" s="53">
        <v>0.14553325656056432</v>
      </c>
      <c r="F58" s="103">
        <v>0.13609775062804735</v>
      </c>
      <c r="G58" s="104">
        <v>0.81650032260313887</v>
      </c>
      <c r="H58" s="54">
        <v>0.97654622433771521</v>
      </c>
      <c r="I58" s="53">
        <v>0.10139661298004755</v>
      </c>
      <c r="J58" s="53">
        <v>0.36102582329931987</v>
      </c>
      <c r="K58" s="53">
        <v>6.4354999999999996E-2</v>
      </c>
      <c r="L58" s="53">
        <v>0.29357721636774026</v>
      </c>
      <c r="M58" s="53">
        <v>8.5738290794127661E-2</v>
      </c>
      <c r="N58" s="54">
        <v>2.4835718538686238</v>
      </c>
      <c r="O58" s="54">
        <v>0.64414147900341523</v>
      </c>
      <c r="P58" s="54">
        <v>6.4382791191869799</v>
      </c>
      <c r="Q58" s="54">
        <v>8.8875254665849557</v>
      </c>
      <c r="R58" s="54">
        <v>1.4899584515535069</v>
      </c>
      <c r="S58" s="54">
        <v>46.826721740920014</v>
      </c>
      <c r="T58" s="53">
        <v>6.4448066148705088E-2</v>
      </c>
      <c r="U58" s="103">
        <v>1.1806387985840473E-2</v>
      </c>
      <c r="V58" s="53">
        <v>2.1534721834103415E-2</v>
      </c>
      <c r="W58" s="103">
        <v>0.41173452769247471</v>
      </c>
      <c r="X58" s="53">
        <v>0.1671058520345248</v>
      </c>
      <c r="Y58" s="53">
        <v>0.25278543214691185</v>
      </c>
      <c r="Z58" s="103">
        <v>0.61460000000000004</v>
      </c>
    </row>
    <row r="59" spans="1:26">
      <c r="A59" s="3" t="s">
        <v>256</v>
      </c>
      <c r="B59" s="3">
        <v>164</v>
      </c>
      <c r="C59" s="53">
        <v>5.7694754098360626E-2</v>
      </c>
      <c r="D59" s="103">
        <v>9.2100665070800974E-2</v>
      </c>
      <c r="E59" s="53">
        <v>0.12158429116691415</v>
      </c>
      <c r="F59" s="103">
        <v>0.15590847541852623</v>
      </c>
      <c r="G59" s="104">
        <v>0.63169706370972833</v>
      </c>
      <c r="H59" s="54">
        <v>0.82652071493614188</v>
      </c>
      <c r="I59" s="53">
        <v>9.1779977827406697E-2</v>
      </c>
      <c r="J59" s="53">
        <v>0.2595251335373906</v>
      </c>
      <c r="K59" s="53">
        <v>6.4354999999999996E-2</v>
      </c>
      <c r="L59" s="53">
        <v>0.34484163116723443</v>
      </c>
      <c r="M59" s="53">
        <v>7.6703617639080637E-2</v>
      </c>
      <c r="N59" s="54">
        <v>1.563525798101618</v>
      </c>
      <c r="O59" s="54">
        <v>1.4040689663460026</v>
      </c>
      <c r="P59" s="54">
        <v>9.2921989769964295</v>
      </c>
      <c r="Q59" s="54">
        <v>15.085462079349663</v>
      </c>
      <c r="R59" s="54">
        <v>2.2006560571887719</v>
      </c>
      <c r="S59" s="54">
        <v>29.949387233831278</v>
      </c>
      <c r="T59" s="53">
        <v>0.13503323145959242</v>
      </c>
      <c r="U59" s="103">
        <v>4.1475264956616818E-2</v>
      </c>
      <c r="V59" s="53">
        <v>4.0861988250109449E-2</v>
      </c>
      <c r="W59" s="103">
        <v>0.76467093347497295</v>
      </c>
      <c r="X59" s="53">
        <v>0.12437615563003381</v>
      </c>
      <c r="Y59" s="53">
        <v>0.40548111787380564</v>
      </c>
      <c r="Z59" s="103">
        <v>0.82640000000000002</v>
      </c>
    </row>
    <row r="60" spans="1:26">
      <c r="A60" s="3" t="s">
        <v>257</v>
      </c>
      <c r="B60" s="3">
        <v>266</v>
      </c>
      <c r="C60" s="53">
        <v>3.0151770334928208E-2</v>
      </c>
      <c r="D60" s="103">
        <v>6.560906858101441E-2</v>
      </c>
      <c r="E60" s="53">
        <v>4.9573756287668594E-2</v>
      </c>
      <c r="F60" s="103">
        <v>0.1224691019938501</v>
      </c>
      <c r="G60" s="104">
        <v>0.67452726357603943</v>
      </c>
      <c r="H60" s="54">
        <v>0.91123562267706948</v>
      </c>
      <c r="I60" s="53">
        <v>9.7210203413600149E-2</v>
      </c>
      <c r="J60" s="53">
        <v>0.29232142502794328</v>
      </c>
      <c r="K60" s="53">
        <v>6.4354999999999996E-2</v>
      </c>
      <c r="L60" s="53">
        <v>0.39221477839053925</v>
      </c>
      <c r="M60" s="53">
        <v>7.7932890429325469E-2</v>
      </c>
      <c r="N60" s="54">
        <v>0.86614493988644492</v>
      </c>
      <c r="O60" s="54">
        <v>1.3103287441086131</v>
      </c>
      <c r="P60" s="54">
        <v>10.145296025613924</v>
      </c>
      <c r="Q60" s="54">
        <v>19.409725734324383</v>
      </c>
      <c r="R60" s="54">
        <v>1.0700113153525874</v>
      </c>
      <c r="S60" s="54">
        <v>53.229040853217001</v>
      </c>
      <c r="T60" s="53">
        <v>0.19301023843083542</v>
      </c>
      <c r="U60" s="103">
        <v>3.6077619245513594E-2</v>
      </c>
      <c r="V60" s="53">
        <v>6.8286821802886769E-2</v>
      </c>
      <c r="W60" s="103">
        <v>1.5270401595610297</v>
      </c>
      <c r="X60" s="53">
        <v>6.4685812884941685E-2</v>
      </c>
      <c r="Y60" s="53">
        <v>0.55881830017691447</v>
      </c>
      <c r="Z60" s="103">
        <v>0.6855</v>
      </c>
    </row>
    <row r="61" spans="1:26">
      <c r="A61" s="3" t="s">
        <v>258</v>
      </c>
      <c r="B61" s="3">
        <v>488</v>
      </c>
      <c r="C61" s="53">
        <v>0.10553491271820446</v>
      </c>
      <c r="D61" s="103">
        <v>0.13545386299033174</v>
      </c>
      <c r="E61" s="53">
        <v>7.7773290566387959E-2</v>
      </c>
      <c r="F61" s="103">
        <v>0.16229579615577694</v>
      </c>
      <c r="G61" s="104">
        <v>0.44709739928296827</v>
      </c>
      <c r="H61" s="54">
        <v>0.73654518278252623</v>
      </c>
      <c r="I61" s="53">
        <v>8.6012546216359925E-2</v>
      </c>
      <c r="J61" s="53">
        <v>0.25342379632553674</v>
      </c>
      <c r="K61" s="53">
        <v>6.4354999999999996E-2</v>
      </c>
      <c r="L61" s="53">
        <v>0.49590794161286106</v>
      </c>
      <c r="M61" s="53">
        <v>6.7191732858331563E-2</v>
      </c>
      <c r="N61" s="54">
        <v>0.68526874049072972</v>
      </c>
      <c r="O61" s="54">
        <v>1.9842440306784828</v>
      </c>
      <c r="P61" s="54">
        <v>8.7108600321499665</v>
      </c>
      <c r="Q61" s="54">
        <v>14.113054268619704</v>
      </c>
      <c r="R61" s="54">
        <v>1.3054398461869166</v>
      </c>
      <c r="S61" s="54">
        <v>19.746454537908715</v>
      </c>
      <c r="T61" s="53">
        <v>5.1321052580214174E-2</v>
      </c>
      <c r="U61" s="103">
        <v>8.65556336773117E-2</v>
      </c>
      <c r="V61" s="53">
        <v>9.7845997009163577E-2</v>
      </c>
      <c r="W61" s="103">
        <v>0.93997521797198369</v>
      </c>
      <c r="X61" s="53">
        <v>0.12425005928175513</v>
      </c>
      <c r="Y61" s="53">
        <v>0.63064006144032125</v>
      </c>
      <c r="Z61" s="103">
        <v>1.0347999999999999</v>
      </c>
    </row>
    <row r="62" spans="1:26">
      <c r="A62" s="3" t="s">
        <v>259</v>
      </c>
      <c r="B62" s="3">
        <v>853</v>
      </c>
      <c r="C62" s="53">
        <v>0.39661279569892466</v>
      </c>
      <c r="D62" s="103">
        <v>0.11742568501154065</v>
      </c>
      <c r="E62" s="53">
        <v>9.0931099417145486E-2</v>
      </c>
      <c r="F62" s="103">
        <v>4.1880733787891061E-2</v>
      </c>
      <c r="G62" s="104">
        <v>1.0402350701665943</v>
      </c>
      <c r="H62" s="54">
        <v>1.0916417105034704</v>
      </c>
      <c r="I62" s="53">
        <v>0.10877423364327246</v>
      </c>
      <c r="J62" s="53">
        <v>0.60159260726154473</v>
      </c>
      <c r="K62" s="53">
        <v>6.7024E-2</v>
      </c>
      <c r="L62" s="53">
        <v>0.15542889273887234</v>
      </c>
      <c r="M62" s="53">
        <v>9.9647338638234689E-2</v>
      </c>
      <c r="N62" s="54">
        <v>0.8076654779709096</v>
      </c>
      <c r="O62" s="54">
        <v>2.388243444540735</v>
      </c>
      <c r="P62" s="54">
        <v>8.8129811908686815</v>
      </c>
      <c r="Q62" s="54">
        <v>18.827938179346596</v>
      </c>
      <c r="R62" s="54">
        <v>1.6763220630025462</v>
      </c>
      <c r="S62" s="54">
        <v>250.16739966900235</v>
      </c>
      <c r="T62" s="53">
        <v>0.10876920780761588</v>
      </c>
      <c r="U62" s="103">
        <v>0.1009003571940405</v>
      </c>
      <c r="V62" s="53">
        <v>0.11279334038614539</v>
      </c>
      <c r="W62" s="103">
        <v>1.560681789819641</v>
      </c>
      <c r="X62" s="53">
        <v>4.3236320854281259E-2</v>
      </c>
      <c r="Y62" s="53">
        <v>0.98308006126650493</v>
      </c>
      <c r="Z62" s="103">
        <v>1.7323999999999999</v>
      </c>
    </row>
    <row r="63" spans="1:26">
      <c r="A63" s="3" t="s">
        <v>260</v>
      </c>
      <c r="B63" s="3">
        <v>205</v>
      </c>
      <c r="C63" s="53">
        <v>2.5649285714285718E-2</v>
      </c>
      <c r="D63" s="103">
        <v>7.3706153044760345E-2</v>
      </c>
      <c r="E63" s="53">
        <v>9.1693019012514851E-2</v>
      </c>
      <c r="F63" s="103">
        <v>0.13418261980956706</v>
      </c>
      <c r="G63" s="104">
        <v>0.98174439942557767</v>
      </c>
      <c r="H63" s="54">
        <v>0.98667454557159306</v>
      </c>
      <c r="I63" s="53">
        <v>0.10204583837113912</v>
      </c>
      <c r="J63" s="53">
        <v>0.30045957687616837</v>
      </c>
      <c r="K63" s="53">
        <v>6.4354999999999996E-2</v>
      </c>
      <c r="L63" s="53">
        <v>0.17696837446783933</v>
      </c>
      <c r="M63" s="53">
        <v>9.2492107878384716E-2</v>
      </c>
      <c r="N63" s="54">
        <v>1.4375094926430516</v>
      </c>
      <c r="O63" s="54">
        <v>1.544761587796009</v>
      </c>
      <c r="P63" s="54">
        <v>12.19735357007114</v>
      </c>
      <c r="Q63" s="54">
        <v>19.632013175283291</v>
      </c>
      <c r="R63" s="54">
        <v>1.6779599293789245</v>
      </c>
      <c r="S63" s="54">
        <v>41.064074331233321</v>
      </c>
      <c r="T63" s="53">
        <v>8.4396816377801928E-2</v>
      </c>
      <c r="U63" s="103">
        <v>2.9516992667007955E-2</v>
      </c>
      <c r="V63" s="53">
        <v>-1.3126563486090452E-2</v>
      </c>
      <c r="W63" s="103">
        <v>-0.10842879148619908</v>
      </c>
      <c r="X63" s="53">
        <v>8.9123022177273498E-2</v>
      </c>
      <c r="Y63" s="53">
        <v>0.41364930060750954</v>
      </c>
      <c r="Z63" s="103">
        <v>1.0109999999999999</v>
      </c>
    </row>
    <row r="64" spans="1:26">
      <c r="A64" s="3" t="s">
        <v>261</v>
      </c>
      <c r="B64" s="3">
        <v>633</v>
      </c>
      <c r="C64" s="53">
        <v>9.1772292576419237E-2</v>
      </c>
      <c r="D64" s="103">
        <v>0.28378893750675827</v>
      </c>
      <c r="E64" s="53">
        <v>3.1870624041347918E-2</v>
      </c>
      <c r="F64" s="103">
        <v>2.0168104552937872E-2</v>
      </c>
      <c r="G64" s="104">
        <v>0.51715701412377979</v>
      </c>
      <c r="H64" s="54">
        <v>0.80382166555826706</v>
      </c>
      <c r="I64" s="53">
        <v>9.0324968762284921E-2</v>
      </c>
      <c r="J64" s="53">
        <v>0.19440345710965456</v>
      </c>
      <c r="K64" s="53">
        <v>5.8542999999999998E-2</v>
      </c>
      <c r="L64" s="53">
        <v>0.44103424923766665</v>
      </c>
      <c r="M64" s="53">
        <v>6.9770542718865444E-2</v>
      </c>
      <c r="N64" s="54">
        <v>0.11461297944621147</v>
      </c>
      <c r="O64" s="54">
        <v>11.928153053441946</v>
      </c>
      <c r="P64" s="54">
        <v>21.659963653072243</v>
      </c>
      <c r="Q64" s="54">
        <v>36.907123476218715</v>
      </c>
      <c r="R64" s="54">
        <v>1.4873329243681386</v>
      </c>
      <c r="S64" s="54">
        <v>65.224529819282452</v>
      </c>
      <c r="T64" s="53">
        <v>0.94396697344893565</v>
      </c>
      <c r="U64" s="103">
        <v>0.10141562264381192</v>
      </c>
      <c r="V64" s="53">
        <v>-5.9045135347357683E-2</v>
      </c>
      <c r="W64" s="103">
        <v>-0.18402675200436258</v>
      </c>
      <c r="X64" s="53">
        <v>2.0324312920631606E-2</v>
      </c>
      <c r="Y64" s="53">
        <v>3.4298055269373591</v>
      </c>
      <c r="Z64" s="103">
        <v>0.30420000000000003</v>
      </c>
    </row>
    <row r="65" spans="1:26">
      <c r="A65" s="3" t="s">
        <v>262</v>
      </c>
      <c r="B65" s="3">
        <v>884</v>
      </c>
      <c r="C65" s="53">
        <v>0.10489185582822072</v>
      </c>
      <c r="D65" s="103">
        <v>5.003106735539483E-2</v>
      </c>
      <c r="E65" s="53">
        <v>2.0519444443367243E-2</v>
      </c>
      <c r="F65" s="103">
        <v>0.14392586391939624</v>
      </c>
      <c r="G65" s="104">
        <v>0.4151846023610043</v>
      </c>
      <c r="H65" s="54">
        <v>0.98381928935145857</v>
      </c>
      <c r="I65" s="53">
        <v>0.10186281644742851</v>
      </c>
      <c r="J65" s="53">
        <v>0.32264079845830512</v>
      </c>
      <c r="K65" s="53">
        <v>6.4354999999999996E-2</v>
      </c>
      <c r="L65" s="53">
        <v>0.71338918457751455</v>
      </c>
      <c r="M65" s="53">
        <v>6.348069309822775E-2</v>
      </c>
      <c r="N65" s="54">
        <v>0.48136054077406221</v>
      </c>
      <c r="O65" s="54">
        <v>1.6844769371768094</v>
      </c>
      <c r="P65" s="54">
        <v>13.21058928721682</v>
      </c>
      <c r="Q65" s="54">
        <v>25.061544895916871</v>
      </c>
      <c r="R65" s="54">
        <v>0.47499232700938854</v>
      </c>
      <c r="S65" s="54">
        <v>85.617825124817145</v>
      </c>
      <c r="T65" s="53">
        <v>1.9372904748389623</v>
      </c>
      <c r="U65" s="103">
        <v>2.4398704395905024E-2</v>
      </c>
      <c r="V65" s="53">
        <v>1.5641880147807902E-2</v>
      </c>
      <c r="W65" s="103">
        <v>-2.4874862323222326</v>
      </c>
      <c r="X65" s="53">
        <v>-3.4840201694336069E-2</v>
      </c>
      <c r="Y65" s="53">
        <v>7.9532474775776667E-3</v>
      </c>
      <c r="Z65" s="103">
        <v>1.7353000000000001</v>
      </c>
    </row>
    <row r="66" spans="1:26">
      <c r="A66" s="3" t="s">
        <v>263</v>
      </c>
      <c r="B66" s="3">
        <v>336</v>
      </c>
      <c r="C66" s="53">
        <v>4.3873405797101465E-2</v>
      </c>
      <c r="D66" s="103">
        <v>0.15690844405910573</v>
      </c>
      <c r="E66" s="53">
        <v>3.5054354887619474E-2</v>
      </c>
      <c r="F66" s="103">
        <v>0.15451442812867944</v>
      </c>
      <c r="G66" s="104">
        <v>0.54027621202156262</v>
      </c>
      <c r="H66" s="54">
        <v>0.94126979574630987</v>
      </c>
      <c r="I66" s="53">
        <v>9.913539390733847E-2</v>
      </c>
      <c r="J66" s="53">
        <v>0.25548788218587742</v>
      </c>
      <c r="K66" s="53">
        <v>6.4354999999999996E-2</v>
      </c>
      <c r="L66" s="53">
        <v>0.54735806735395398</v>
      </c>
      <c r="M66" s="53">
        <v>7.1179036879308918E-2</v>
      </c>
      <c r="N66" s="54">
        <v>0.26352308133588775</v>
      </c>
      <c r="O66" s="54">
        <v>3.3452161322956986</v>
      </c>
      <c r="P66" s="54">
        <v>13.533672644677281</v>
      </c>
      <c r="Q66" s="54">
        <v>19.755324773603924</v>
      </c>
      <c r="R66" s="54">
        <v>0.67632359153553245</v>
      </c>
      <c r="S66" s="54">
        <v>82.378100398027456</v>
      </c>
      <c r="T66" s="53">
        <v>1.1297095601126699</v>
      </c>
      <c r="U66" s="103">
        <v>6.8333546742019136E-2</v>
      </c>
      <c r="V66" s="53">
        <v>8.263981951953811E-2</v>
      </c>
      <c r="W66" s="103">
        <v>1.1017161071666843</v>
      </c>
      <c r="X66" s="53">
        <v>3.9727774034120228E-2</v>
      </c>
      <c r="Y66" s="53">
        <v>0.57547165687174862</v>
      </c>
      <c r="Z66" s="103">
        <v>0.81469999999999998</v>
      </c>
    </row>
    <row r="67" spans="1:26">
      <c r="A67" s="3" t="s">
        <v>264</v>
      </c>
      <c r="B67" s="3">
        <v>748</v>
      </c>
      <c r="C67" s="53">
        <v>8.5338026565465006E-2</v>
      </c>
      <c r="D67" s="103">
        <v>0.17580466096683892</v>
      </c>
      <c r="E67" s="53">
        <v>3.9065889833080299E-2</v>
      </c>
      <c r="F67" s="103">
        <v>0.12585018357495545</v>
      </c>
      <c r="G67" s="104">
        <v>0.56013966502407275</v>
      </c>
      <c r="H67" s="54">
        <v>0.87519911806776363</v>
      </c>
      <c r="I67" s="53">
        <v>9.4900263468143647E-2</v>
      </c>
      <c r="J67" s="53">
        <v>0.28966941137178137</v>
      </c>
      <c r="K67" s="53">
        <v>6.4354999999999996E-2</v>
      </c>
      <c r="L67" s="53">
        <v>0.47132844724291262</v>
      </c>
      <c r="M67" s="53">
        <v>7.2823262816387013E-2</v>
      </c>
      <c r="N67" s="54">
        <v>0.25417193766136481</v>
      </c>
      <c r="O67" s="54">
        <v>4.0704803621905601</v>
      </c>
      <c r="P67" s="54">
        <v>16.501271688502577</v>
      </c>
      <c r="Q67" s="54">
        <v>21.262656069801153</v>
      </c>
      <c r="R67" s="54">
        <v>0.91823573499989108</v>
      </c>
      <c r="S67" s="54">
        <v>66.290745319241054</v>
      </c>
      <c r="T67" s="53">
        <v>0.19381853732242252</v>
      </c>
      <c r="U67" s="103">
        <v>7.1596634293824346E-2</v>
      </c>
      <c r="V67" s="53">
        <v>2.3190835360523514E-2</v>
      </c>
      <c r="W67" s="103">
        <v>0.13557623813278311</v>
      </c>
      <c r="X67" s="53">
        <v>-2.8154334130633382E-2</v>
      </c>
      <c r="Y67" s="53">
        <v>6.5958463668374101E-3</v>
      </c>
      <c r="Z67" s="103">
        <v>1.7045999999999999</v>
      </c>
    </row>
    <row r="68" spans="1:26">
      <c r="A68" s="3" t="s">
        <v>265</v>
      </c>
      <c r="B68" s="3">
        <v>326</v>
      </c>
      <c r="C68" s="53">
        <v>6.7453374485596698E-2</v>
      </c>
      <c r="D68" s="103">
        <v>0.1065059598249231</v>
      </c>
      <c r="E68" s="53">
        <v>0.1118567611101358</v>
      </c>
      <c r="F68" s="103">
        <v>0.13549645390942841</v>
      </c>
      <c r="G68" s="104">
        <v>0.90095338579692241</v>
      </c>
      <c r="H68" s="54">
        <v>0.99486811366784356</v>
      </c>
      <c r="I68" s="53">
        <v>0.10257104608610877</v>
      </c>
      <c r="J68" s="53">
        <v>0.31551562219003843</v>
      </c>
      <c r="K68" s="53">
        <v>6.4354999999999996E-2</v>
      </c>
      <c r="L68" s="53">
        <v>0.21268298134588476</v>
      </c>
      <c r="M68" s="53">
        <v>9.0977541070688381E-2</v>
      </c>
      <c r="N68" s="54">
        <v>1.2170497477677569</v>
      </c>
      <c r="O68" s="54">
        <v>2.1605517731648614</v>
      </c>
      <c r="P68" s="54">
        <v>11.793257016689154</v>
      </c>
      <c r="Q68" s="54">
        <v>19.324996402942183</v>
      </c>
      <c r="R68" s="54">
        <v>3.0397868598630824</v>
      </c>
      <c r="S68" s="54">
        <v>65.706363445765007</v>
      </c>
      <c r="T68" s="53">
        <v>0.16351049819930016</v>
      </c>
      <c r="U68" s="103">
        <v>3.2231860470796538E-3</v>
      </c>
      <c r="V68" s="53">
        <v>3.0626786553431942E-2</v>
      </c>
      <c r="W68" s="103">
        <v>0.4828574746721972</v>
      </c>
      <c r="X68" s="53">
        <v>9.452247803676618E-2</v>
      </c>
      <c r="Y68" s="53">
        <v>0.4868889544762211</v>
      </c>
      <c r="Z68" s="103">
        <v>1.2273000000000001</v>
      </c>
    </row>
    <row r="69" spans="1:26">
      <c r="A69" s="3" t="s">
        <v>266</v>
      </c>
      <c r="B69" s="3">
        <v>34</v>
      </c>
      <c r="C69" s="53">
        <v>8.0257586206896561E-2</v>
      </c>
      <c r="D69" s="103">
        <v>0.10227896161981583</v>
      </c>
      <c r="E69" s="53">
        <v>0.23300411586091974</v>
      </c>
      <c r="F69" s="103">
        <v>0.12877121702446767</v>
      </c>
      <c r="G69" s="104">
        <v>1.0857693512076685</v>
      </c>
      <c r="H69" s="54">
        <v>1.1410235796208721</v>
      </c>
      <c r="I69" s="53">
        <v>0.11193961145369791</v>
      </c>
      <c r="J69" s="53">
        <v>0.23429812694853552</v>
      </c>
      <c r="K69" s="53">
        <v>5.8542999999999998E-2</v>
      </c>
      <c r="L69" s="53">
        <v>0.21538998013834515</v>
      </c>
      <c r="M69" s="53">
        <v>9.7245771829478023E-2</v>
      </c>
      <c r="N69" s="54">
        <v>2.6148396847258599</v>
      </c>
      <c r="O69" s="54">
        <v>0.75713755752094358</v>
      </c>
      <c r="P69" s="54">
        <v>8.5181858887897732</v>
      </c>
      <c r="Q69" s="54">
        <v>7.3798604971670629</v>
      </c>
      <c r="R69" s="54">
        <v>1.3386475086303296</v>
      </c>
      <c r="S69" s="54">
        <v>13.499805347113609</v>
      </c>
      <c r="T69" s="53">
        <v>-0.69732768167972969</v>
      </c>
      <c r="U69" s="103">
        <v>8.3789699118327569E-3</v>
      </c>
      <c r="V69" s="53">
        <v>1.8491228366908426E-2</v>
      </c>
      <c r="W69" s="103">
        <v>0.31393549854645547</v>
      </c>
      <c r="X69" s="53">
        <v>0.18999090330907187</v>
      </c>
      <c r="Y69" s="53">
        <v>0.21042384692812813</v>
      </c>
      <c r="Z69" s="103">
        <v>0.19420000000000001</v>
      </c>
    </row>
    <row r="70" spans="1:26">
      <c r="A70" s="3" t="s">
        <v>267</v>
      </c>
      <c r="B70" s="3">
        <v>394</v>
      </c>
      <c r="C70" s="53">
        <v>3.6257622377622346E-2</v>
      </c>
      <c r="D70" s="103">
        <v>8.6070239594232878E-2</v>
      </c>
      <c r="E70" s="53">
        <v>0.12877333183735615</v>
      </c>
      <c r="F70" s="103">
        <v>0.13824157611958085</v>
      </c>
      <c r="G70" s="104">
        <v>0.84691209454718896</v>
      </c>
      <c r="H70" s="54">
        <v>0.98015356869100667</v>
      </c>
      <c r="I70" s="53">
        <v>0.10162784375309353</v>
      </c>
      <c r="J70" s="53">
        <v>0.29860207290824442</v>
      </c>
      <c r="K70" s="53">
        <v>6.4354999999999996E-2</v>
      </c>
      <c r="L70" s="53">
        <v>0.21472117827075884</v>
      </c>
      <c r="M70" s="53">
        <v>9.0125760647455352E-2</v>
      </c>
      <c r="N70" s="54">
        <v>1.7170453671868751</v>
      </c>
      <c r="O70" s="54">
        <v>2.6891541496559115</v>
      </c>
      <c r="P70" s="54">
        <v>16.48286806183112</v>
      </c>
      <c r="Q70" s="54">
        <v>29.127158687564172</v>
      </c>
      <c r="R70" s="54">
        <v>9.1911841941799413</v>
      </c>
      <c r="S70" s="54">
        <v>79.594383511185526</v>
      </c>
      <c r="T70" s="53">
        <v>-1.5570926850960395E-2</v>
      </c>
      <c r="U70" s="103">
        <v>1.7103545883623797E-3</v>
      </c>
      <c r="V70" s="53">
        <v>1.6541780294223832E-2</v>
      </c>
      <c r="W70" s="103">
        <v>0.2483825751653094</v>
      </c>
      <c r="X70" s="53">
        <v>0.24646866445962604</v>
      </c>
      <c r="Y70" s="53">
        <v>0.64040252806340192</v>
      </c>
      <c r="Z70" s="103">
        <v>0.46400000000000002</v>
      </c>
    </row>
    <row r="71" spans="1:26">
      <c r="A71" s="3" t="s">
        <v>268</v>
      </c>
      <c r="B71" s="3">
        <v>204</v>
      </c>
      <c r="C71" s="53">
        <v>7.3979379310344817E-2</v>
      </c>
      <c r="D71" s="103">
        <v>4.3638598644988959E-2</v>
      </c>
      <c r="E71" s="53">
        <v>0.10481182756223011</v>
      </c>
      <c r="F71" s="103">
        <v>0.17961008624000524</v>
      </c>
      <c r="G71" s="104">
        <v>0.71515265230227776</v>
      </c>
      <c r="H71" s="54">
        <v>0.9984182748699072</v>
      </c>
      <c r="I71" s="53">
        <v>0.10279861141916105</v>
      </c>
      <c r="J71" s="53">
        <v>0.32732613175188158</v>
      </c>
      <c r="K71" s="53">
        <v>6.4354999999999996E-2</v>
      </c>
      <c r="L71" s="53">
        <v>0.38448853694962759</v>
      </c>
      <c r="M71" s="53">
        <v>8.1752363529354249E-2</v>
      </c>
      <c r="N71" s="54">
        <v>2.9249830898771991</v>
      </c>
      <c r="O71" s="54">
        <v>0.76304746263985546</v>
      </c>
      <c r="P71" s="54">
        <v>11.188689690797089</v>
      </c>
      <c r="Q71" s="54">
        <v>16.606135028579924</v>
      </c>
      <c r="R71" s="54">
        <v>3.251210132543064</v>
      </c>
      <c r="S71" s="54">
        <v>30.238685744862362</v>
      </c>
      <c r="T71" s="53">
        <v>0.10706378902882009</v>
      </c>
      <c r="U71" s="103">
        <v>2.1151850997237289E-2</v>
      </c>
      <c r="V71" s="53">
        <v>1.7281765587046687E-2</v>
      </c>
      <c r="W71" s="103">
        <v>0.82827773689845452</v>
      </c>
      <c r="X71" s="53">
        <v>0.2076925236086363</v>
      </c>
      <c r="Y71" s="53">
        <v>0.26136084734296877</v>
      </c>
      <c r="Z71" s="103">
        <v>0.86360000000000003</v>
      </c>
    </row>
    <row r="72" spans="1:26">
      <c r="A72" s="3" t="s">
        <v>269</v>
      </c>
      <c r="B72" s="3">
        <v>120</v>
      </c>
      <c r="C72" s="53">
        <v>5.391283950617283E-2</v>
      </c>
      <c r="D72" s="103">
        <v>0.1072975132310202</v>
      </c>
      <c r="E72" s="53">
        <v>0.2434078621058679</v>
      </c>
      <c r="F72" s="103">
        <v>0.19923997301058546</v>
      </c>
      <c r="G72" s="104">
        <v>0.96248561606011518</v>
      </c>
      <c r="H72" s="54">
        <v>1.1069063250264495</v>
      </c>
      <c r="I72" s="53">
        <v>0.10975269543419541</v>
      </c>
      <c r="J72" s="53">
        <v>0.30071356129427335</v>
      </c>
      <c r="K72" s="53">
        <v>6.4354999999999996E-2</v>
      </c>
      <c r="L72" s="53">
        <v>0.18643722278574137</v>
      </c>
      <c r="M72" s="53">
        <v>9.8250939172565388E-2</v>
      </c>
      <c r="N72" s="54">
        <v>2.8306543984716934</v>
      </c>
      <c r="O72" s="54">
        <v>1.8618827532091615</v>
      </c>
      <c r="P72" s="54">
        <v>12.924894242121775</v>
      </c>
      <c r="Q72" s="54">
        <v>17.009576813204827</v>
      </c>
      <c r="R72" s="54">
        <v>19.811084981805248</v>
      </c>
      <c r="S72" s="54">
        <v>33.618358654770915</v>
      </c>
      <c r="T72" s="53">
        <v>8.9745026637499725E-2</v>
      </c>
      <c r="U72" s="103">
        <v>2.4358239196111704E-2</v>
      </c>
      <c r="V72" s="53">
        <v>8.4592894467163497E-3</v>
      </c>
      <c r="W72" s="103">
        <v>5.8794934852472613E-2</v>
      </c>
      <c r="X72" s="53">
        <v>0.85228172803753866</v>
      </c>
      <c r="Y72" s="53">
        <v>0.47316731981227755</v>
      </c>
      <c r="Z72" s="103">
        <v>0.1226</v>
      </c>
    </row>
    <row r="73" spans="1:26">
      <c r="A73" s="3" t="s">
        <v>270</v>
      </c>
      <c r="B73" s="3">
        <v>1028</v>
      </c>
      <c r="C73" s="53">
        <v>0.10370086657496563</v>
      </c>
      <c r="D73" s="103">
        <v>5.257025017393531E-2</v>
      </c>
      <c r="E73" s="53">
        <v>8.7295774312562774E-2</v>
      </c>
      <c r="F73" s="103">
        <v>0.16387364830784423</v>
      </c>
      <c r="G73" s="104">
        <v>0.61072958377877129</v>
      </c>
      <c r="H73" s="54">
        <v>0.80245279768180777</v>
      </c>
      <c r="I73" s="53">
        <v>9.0237224331403881E-2</v>
      </c>
      <c r="J73" s="53">
        <v>0.31082069146992614</v>
      </c>
      <c r="K73" s="53">
        <v>6.4354999999999996E-2</v>
      </c>
      <c r="L73" s="53">
        <v>0.36447404135218497</v>
      </c>
      <c r="M73" s="53">
        <v>7.4864835371168378E-2</v>
      </c>
      <c r="N73" s="54">
        <v>1.9850579256746457</v>
      </c>
      <c r="O73" s="54">
        <v>0.83129637184913119</v>
      </c>
      <c r="P73" s="54">
        <v>11.837965793763226</v>
      </c>
      <c r="Q73" s="54">
        <v>15.17094325756824</v>
      </c>
      <c r="R73" s="54">
        <v>1.6896602976560289</v>
      </c>
      <c r="S73" s="54">
        <v>47.963497120770214</v>
      </c>
      <c r="T73" s="53">
        <v>0.15950699645612881</v>
      </c>
      <c r="U73" s="103">
        <v>2.3832681878767144E-2</v>
      </c>
      <c r="V73" s="53">
        <v>2.7856372186036486E-2</v>
      </c>
      <c r="W73" s="103">
        <v>0.7507573636319792</v>
      </c>
      <c r="X73" s="53">
        <v>0.14332500695587758</v>
      </c>
      <c r="Y73" s="53">
        <v>0.36173027740438085</v>
      </c>
      <c r="Z73" s="103">
        <v>1.5952999999999999</v>
      </c>
    </row>
    <row r="74" spans="1:26">
      <c r="A74" s="3" t="s">
        <v>271</v>
      </c>
      <c r="B74" s="3">
        <v>256</v>
      </c>
      <c r="C74" s="53">
        <v>9.6226153846153736E-3</v>
      </c>
      <c r="D74" s="103">
        <v>4.1225629886524805E-2</v>
      </c>
      <c r="E74" s="53">
        <v>8.3478279708728051E-2</v>
      </c>
      <c r="F74" s="103">
        <v>0.16631471474900636</v>
      </c>
      <c r="G74" s="104">
        <v>0.99306784074250776</v>
      </c>
      <c r="H74" s="54">
        <v>1.0856124994038361</v>
      </c>
      <c r="I74" s="53">
        <v>0.10838776121178589</v>
      </c>
      <c r="J74" s="53">
        <v>0.29728382030674888</v>
      </c>
      <c r="K74" s="53">
        <v>6.4354999999999996E-2</v>
      </c>
      <c r="L74" s="53">
        <v>0.1680989294267965</v>
      </c>
      <c r="M74" s="53">
        <v>9.8246781920433096E-2</v>
      </c>
      <c r="N74" s="54">
        <v>2.1335725223471864</v>
      </c>
      <c r="O74" s="54">
        <v>1.4828729592721801</v>
      </c>
      <c r="P74" s="54">
        <v>15.611727952528405</v>
      </c>
      <c r="Q74" s="54">
        <v>34.184988499351526</v>
      </c>
      <c r="R74" s="54">
        <v>4.7814203126747996</v>
      </c>
      <c r="S74" s="54">
        <v>65.253794901275398</v>
      </c>
      <c r="T74" s="53">
        <v>-1.2451183702950622E-2</v>
      </c>
      <c r="U74" s="103">
        <v>3.8148259971067088E-3</v>
      </c>
      <c r="V74" s="53">
        <v>1.9004521712700662E-2</v>
      </c>
      <c r="W74" s="103">
        <v>0.72588271722709163</v>
      </c>
      <c r="X74" s="53">
        <v>0.15077463621146744</v>
      </c>
      <c r="Y74" s="53">
        <v>0.25887617580414191</v>
      </c>
      <c r="Z74" s="103">
        <v>0.56069999999999998</v>
      </c>
    </row>
    <row r="75" spans="1:26">
      <c r="A75" s="3" t="s">
        <v>272</v>
      </c>
      <c r="B75" s="3">
        <v>201</v>
      </c>
      <c r="C75" s="53">
        <v>5.3329683544303758E-2</v>
      </c>
      <c r="D75" s="103">
        <v>3.8245752496009151E-2</v>
      </c>
      <c r="E75" s="53">
        <v>0.10888121057037063</v>
      </c>
      <c r="F75" s="103">
        <v>0.20388956237660114</v>
      </c>
      <c r="G75" s="104">
        <v>0.55190516839256432</v>
      </c>
      <c r="H75" s="54">
        <v>0.70568036082683883</v>
      </c>
      <c r="I75" s="53">
        <v>8.4034111129000374E-2</v>
      </c>
      <c r="J75" s="53">
        <v>0.25255189468537265</v>
      </c>
      <c r="K75" s="53">
        <v>6.4354999999999996E-2</v>
      </c>
      <c r="L75" s="53">
        <v>0.33371729426885527</v>
      </c>
      <c r="M75" s="53">
        <v>7.2029032886533645E-2</v>
      </c>
      <c r="N75" s="54">
        <v>3.4246814204206171</v>
      </c>
      <c r="O75" s="54">
        <v>0.6274825802759757</v>
      </c>
      <c r="P75" s="54">
        <v>9.2926197466361646</v>
      </c>
      <c r="Q75" s="54">
        <v>15.8484938548917</v>
      </c>
      <c r="R75" s="54">
        <v>2.5117227966655129</v>
      </c>
      <c r="S75" s="54">
        <v>40.906368724613998</v>
      </c>
      <c r="T75" s="53">
        <v>-3.0261379667246124E-2</v>
      </c>
      <c r="U75" s="103">
        <v>2.5860874767432901E-2</v>
      </c>
      <c r="V75" s="53">
        <v>9.885347371725476E-3</v>
      </c>
      <c r="W75" s="103">
        <v>0.30008433336189916</v>
      </c>
      <c r="X75" s="53">
        <v>0.10054514265836895</v>
      </c>
      <c r="Y75" s="53">
        <v>0.50215049989591976</v>
      </c>
      <c r="Z75" s="103">
        <v>0.4995</v>
      </c>
    </row>
    <row r="76" spans="1:26">
      <c r="A76" s="3" t="s">
        <v>273</v>
      </c>
      <c r="B76" s="3">
        <v>123</v>
      </c>
      <c r="C76" s="53">
        <v>5.323048543689321E-2</v>
      </c>
      <c r="D76" s="103">
        <v>0.47495251937020694</v>
      </c>
      <c r="E76" s="53">
        <v>4.496131610719778E-2</v>
      </c>
      <c r="F76" s="103">
        <v>3.6379179766419974E-2</v>
      </c>
      <c r="G76" s="104">
        <v>0.61480470227742534</v>
      </c>
      <c r="H76" s="54">
        <v>0.94720211763714923</v>
      </c>
      <c r="I76" s="53">
        <v>9.9515655740541276E-2</v>
      </c>
      <c r="J76" s="53">
        <v>0.17432124177759648</v>
      </c>
      <c r="K76" s="53">
        <v>5.8542999999999998E-2</v>
      </c>
      <c r="L76" s="53">
        <v>0.43600243609609318</v>
      </c>
      <c r="M76" s="53">
        <v>7.5188575720272904E-2</v>
      </c>
      <c r="N76" s="54">
        <v>9.8238037992712926E-2</v>
      </c>
      <c r="O76" s="54">
        <v>12.063494268116479</v>
      </c>
      <c r="P76" s="54">
        <v>18.13747290703505</v>
      </c>
      <c r="Q76" s="54">
        <v>22.997222452541244</v>
      </c>
      <c r="R76" s="54">
        <v>1.168886234847035</v>
      </c>
      <c r="S76" s="54">
        <v>77.557007629367305</v>
      </c>
      <c r="T76" s="53">
        <v>-7.1442705363018263E-2</v>
      </c>
      <c r="U76" s="103">
        <v>7.9897119747193407E-2</v>
      </c>
      <c r="V76" s="53">
        <v>-3.249446096351747E-2</v>
      </c>
      <c r="W76" s="103">
        <v>-8.5253457323609463E-2</v>
      </c>
      <c r="X76" s="53">
        <v>3.5616724732323919E-2</v>
      </c>
      <c r="Y76" s="53">
        <v>1.6515768649547726</v>
      </c>
      <c r="Z76" s="103">
        <v>0.63109999999999999</v>
      </c>
    </row>
    <row r="77" spans="1:26">
      <c r="A77" s="3" t="s">
        <v>274</v>
      </c>
      <c r="B77" s="3">
        <v>639</v>
      </c>
      <c r="C77" s="53">
        <v>5.1914952380952423E-2</v>
      </c>
      <c r="D77" s="103">
        <v>5.163999170190553E-2</v>
      </c>
      <c r="E77" s="53">
        <v>0.11756426158826133</v>
      </c>
      <c r="F77" s="103">
        <v>0.15364561217998882</v>
      </c>
      <c r="G77" s="104">
        <v>0.98079672894532766</v>
      </c>
      <c r="H77" s="54">
        <v>1.0906405392648799</v>
      </c>
      <c r="I77" s="53">
        <v>0.10871005856687881</v>
      </c>
      <c r="J77" s="53">
        <v>0.33815801390687678</v>
      </c>
      <c r="K77" s="53">
        <v>6.4354999999999996E-2</v>
      </c>
      <c r="L77" s="53">
        <v>0.21088688811216749</v>
      </c>
      <c r="M77" s="53">
        <v>9.5919822670371899E-2</v>
      </c>
      <c r="N77" s="54">
        <v>2.6894797418402416</v>
      </c>
      <c r="O77" s="54">
        <v>1.124117236951806</v>
      </c>
      <c r="P77" s="54">
        <v>11.71406075761</v>
      </c>
      <c r="Q77" s="54">
        <v>21.065236561544381</v>
      </c>
      <c r="R77" s="54">
        <v>3.575349088959423</v>
      </c>
      <c r="S77" s="54">
        <v>48.403695063803532</v>
      </c>
      <c r="T77" s="53">
        <v>6.1325245781905E-2</v>
      </c>
      <c r="U77" s="103">
        <v>5.4898945547292711E-4</v>
      </c>
      <c r="V77" s="53">
        <v>1.0176207106635218E-2</v>
      </c>
      <c r="W77" s="103">
        <v>0.22248105248757027</v>
      </c>
      <c r="X77" s="53">
        <v>8.2289088114543829E-2</v>
      </c>
      <c r="Y77" s="53">
        <v>0.71101924636845149</v>
      </c>
      <c r="Z77" s="103">
        <v>0.42280000000000001</v>
      </c>
    </row>
    <row r="78" spans="1:26">
      <c r="A78" s="3" t="s">
        <v>275</v>
      </c>
      <c r="B78" s="3">
        <v>89</v>
      </c>
      <c r="C78" s="53">
        <v>5.1510142857142824E-2</v>
      </c>
      <c r="D78" s="103">
        <v>8.8127730601018903E-2</v>
      </c>
      <c r="E78" s="53">
        <v>8.6701711502713455E-2</v>
      </c>
      <c r="F78" s="103">
        <v>0.17233330756142265</v>
      </c>
      <c r="G78" s="104">
        <v>0.88487723640109039</v>
      </c>
      <c r="H78" s="54">
        <v>1.0447442130882163</v>
      </c>
      <c r="I78" s="53">
        <v>0.10576810405895468</v>
      </c>
      <c r="J78" s="53">
        <v>0.26902119043396677</v>
      </c>
      <c r="K78" s="53">
        <v>6.4354999999999996E-2</v>
      </c>
      <c r="L78" s="53">
        <v>0.29805660736281792</v>
      </c>
      <c r="M78" s="53">
        <v>8.8567915935576891E-2</v>
      </c>
      <c r="N78" s="54">
        <v>1.1842357353944357</v>
      </c>
      <c r="O78" s="54">
        <v>1.0282305738273891</v>
      </c>
      <c r="P78" s="54">
        <v>6.9378826189015301</v>
      </c>
      <c r="Q78" s="54">
        <v>11.448330027422402</v>
      </c>
      <c r="R78" s="54">
        <v>1.2500330822119678</v>
      </c>
      <c r="S78" s="54">
        <v>30.551312070435429</v>
      </c>
      <c r="T78" s="53">
        <v>0.22165245192765948</v>
      </c>
      <c r="U78" s="103">
        <v>2.9239237779639861E-2</v>
      </c>
      <c r="V78" s="53">
        <v>4.0742011539558178E-2</v>
      </c>
      <c r="W78" s="103">
        <v>0.70272375987566593</v>
      </c>
      <c r="X78" s="53">
        <v>9.0156624243509564E-2</v>
      </c>
      <c r="Y78" s="53">
        <v>0.36944271507301657</v>
      </c>
      <c r="Z78" s="103">
        <v>0.58069999999999999</v>
      </c>
    </row>
    <row r="79" spans="1:26">
      <c r="A79" s="3" t="s">
        <v>276</v>
      </c>
      <c r="B79" s="3">
        <v>647</v>
      </c>
      <c r="C79" s="53">
        <v>5.7737299107142814E-2</v>
      </c>
      <c r="D79" s="103">
        <v>0.16333337354114627</v>
      </c>
      <c r="E79" s="53">
        <v>0.11416550216309514</v>
      </c>
      <c r="F79" s="103">
        <v>7.5158017266683877E-2</v>
      </c>
      <c r="G79" s="104">
        <v>1.6672585627718386</v>
      </c>
      <c r="H79" s="54">
        <v>1.6822579862201203</v>
      </c>
      <c r="I79" s="53">
        <v>0.14663273691670972</v>
      </c>
      <c r="J79" s="53">
        <v>0.34381956656749763</v>
      </c>
      <c r="K79" s="53">
        <v>6.4354999999999996E-2</v>
      </c>
      <c r="L79" s="53">
        <v>7.3734405001800757E-2</v>
      </c>
      <c r="M79" s="53">
        <v>0.13936455796336028</v>
      </c>
      <c r="N79" s="54">
        <v>0.73596655025993429</v>
      </c>
      <c r="O79" s="54">
        <v>6.3251190470549714</v>
      </c>
      <c r="P79" s="54">
        <v>20.981056455012983</v>
      </c>
      <c r="Q79" s="54">
        <v>37.448565489297373</v>
      </c>
      <c r="R79" s="54">
        <v>5.0498851727182421</v>
      </c>
      <c r="S79" s="54">
        <v>110.96534074441963</v>
      </c>
      <c r="T79" s="53">
        <v>0.1666210435199012</v>
      </c>
      <c r="U79" s="103">
        <v>9.4756741586764795E-2</v>
      </c>
      <c r="V79" s="53">
        <v>0.11495413779205399</v>
      </c>
      <c r="W79" s="103">
        <v>0.9343515564878393</v>
      </c>
      <c r="X79" s="53">
        <v>0.12679960999111173</v>
      </c>
      <c r="Y79" s="53">
        <v>0.50892416546552466</v>
      </c>
      <c r="Z79" s="103">
        <v>0.83679999999999999</v>
      </c>
    </row>
    <row r="80" spans="1:26">
      <c r="A80" s="3" t="s">
        <v>277</v>
      </c>
      <c r="B80" s="3">
        <v>367</v>
      </c>
      <c r="C80" s="53">
        <v>8.2306953125000082E-2</v>
      </c>
      <c r="D80" s="103">
        <v>0.21891348855171655</v>
      </c>
      <c r="E80" s="53">
        <v>0.23276660818443079</v>
      </c>
      <c r="F80" s="103">
        <v>0.12472294376754781</v>
      </c>
      <c r="G80" s="104">
        <v>1.9655187566677479</v>
      </c>
      <c r="H80" s="54">
        <v>1.9544533519177909</v>
      </c>
      <c r="I80" s="53">
        <v>0.16408045985793041</v>
      </c>
      <c r="J80" s="53">
        <v>0.33511289572378489</v>
      </c>
      <c r="K80" s="53">
        <v>6.4354999999999996E-2</v>
      </c>
      <c r="L80" s="53">
        <v>5.8023812386351313E-2</v>
      </c>
      <c r="M80" s="53">
        <v>0.15734852868163274</v>
      </c>
      <c r="N80" s="54">
        <v>1.1814497522995548</v>
      </c>
      <c r="O80" s="54">
        <v>5.1436731551086314</v>
      </c>
      <c r="P80" s="54">
        <v>19.317946832775082</v>
      </c>
      <c r="Q80" s="54">
        <v>23.201206714872207</v>
      </c>
      <c r="R80" s="54">
        <v>6.020479517171851</v>
      </c>
      <c r="S80" s="54">
        <v>53.5861384211724</v>
      </c>
      <c r="T80" s="53">
        <v>0.31060313147362573</v>
      </c>
      <c r="U80" s="103">
        <v>5.0545201595371E-2</v>
      </c>
      <c r="V80" s="53">
        <v>8.2087062132810473E-2</v>
      </c>
      <c r="W80" s="103">
        <v>0.60567211669178123</v>
      </c>
      <c r="X80" s="53">
        <v>0.26290365948670547</v>
      </c>
      <c r="Y80" s="53">
        <v>0.28643463629818056</v>
      </c>
      <c r="Z80" s="103">
        <v>0.69779999999999998</v>
      </c>
    </row>
    <row r="81" spans="1:26">
      <c r="A81" s="3" t="s">
        <v>278</v>
      </c>
      <c r="B81" s="3">
        <v>348</v>
      </c>
      <c r="C81" s="53">
        <v>8.7350467625899333E-2</v>
      </c>
      <c r="D81" s="103">
        <v>0.17205436027229504</v>
      </c>
      <c r="E81" s="53">
        <v>0.1114541536581069</v>
      </c>
      <c r="F81" s="103">
        <v>0.13686222773566772</v>
      </c>
      <c r="G81" s="104">
        <v>0.86316017623922947</v>
      </c>
      <c r="H81" s="54">
        <v>0.94534794555439849</v>
      </c>
      <c r="I81" s="53">
        <v>9.9396803310036946E-2</v>
      </c>
      <c r="J81" s="53">
        <v>0.29862899830307638</v>
      </c>
      <c r="K81" s="53">
        <v>6.4354999999999996E-2</v>
      </c>
      <c r="L81" s="53">
        <v>0.30865122449384191</v>
      </c>
      <c r="M81" s="53">
        <v>8.3551733023279007E-2</v>
      </c>
      <c r="N81" s="54">
        <v>0.75063573592149446</v>
      </c>
      <c r="O81" s="54">
        <v>1.4812037419285911</v>
      </c>
      <c r="P81" s="54">
        <v>6.1171943683610888</v>
      </c>
      <c r="Q81" s="54">
        <v>8.4464592018993567</v>
      </c>
      <c r="R81" s="54">
        <v>0.9527523070472026</v>
      </c>
      <c r="S81" s="54">
        <v>16.82060502870786</v>
      </c>
      <c r="T81" s="53">
        <v>-4.8828006332956118E-3</v>
      </c>
      <c r="U81" s="103">
        <v>3.9902396104123709E-2</v>
      </c>
      <c r="V81" s="53">
        <v>5.447159926448495E-2</v>
      </c>
      <c r="W81" s="103">
        <v>0.15408897103284014</v>
      </c>
      <c r="X81" s="53">
        <v>0.13643801936112437</v>
      </c>
      <c r="Y81" s="53">
        <v>0.98443637265788042</v>
      </c>
      <c r="Z81" s="103">
        <v>1.8086</v>
      </c>
    </row>
    <row r="82" spans="1:26">
      <c r="A82" s="3" t="s">
        <v>279</v>
      </c>
      <c r="B82" s="3">
        <v>85</v>
      </c>
      <c r="C82" s="53">
        <v>-1.5779047619047627E-2</v>
      </c>
      <c r="D82" s="103">
        <v>9.6796343029948023E-2</v>
      </c>
      <c r="E82" s="53">
        <v>0.1568299261062974</v>
      </c>
      <c r="F82" s="103">
        <v>0.13799217449229226</v>
      </c>
      <c r="G82" s="104">
        <v>0.87217985776557838</v>
      </c>
      <c r="H82" s="54">
        <v>0.89970753820860683</v>
      </c>
      <c r="I82" s="53">
        <v>9.64712531991717E-2</v>
      </c>
      <c r="J82" s="53">
        <v>0.31722109009264282</v>
      </c>
      <c r="K82" s="53">
        <v>6.4354999999999996E-2</v>
      </c>
      <c r="L82" s="53">
        <v>0.11004901871848086</v>
      </c>
      <c r="M82" s="53">
        <v>9.1143676845062818E-2</v>
      </c>
      <c r="N82" s="54">
        <v>1.8788356569732299</v>
      </c>
      <c r="O82" s="54">
        <v>2.2689859800308465</v>
      </c>
      <c r="P82" s="54">
        <v>17.311594837188309</v>
      </c>
      <c r="Q82" s="54">
        <v>23.138673472383189</v>
      </c>
      <c r="R82" s="54">
        <v>4.8476262794550502</v>
      </c>
      <c r="S82" s="54">
        <v>37.918236607649753</v>
      </c>
      <c r="T82" s="53">
        <v>0.19999599558905171</v>
      </c>
      <c r="U82" s="103">
        <v>-1.4156320428161111E-3</v>
      </c>
      <c r="V82" s="53">
        <v>-4.8392857594613693E-3</v>
      </c>
      <c r="W82" s="103">
        <v>-0.16076892920930611</v>
      </c>
      <c r="X82" s="53">
        <v>0.18728005326541672</v>
      </c>
      <c r="Y82" s="53">
        <v>0.409713367577831</v>
      </c>
      <c r="Z82" s="103">
        <v>2.3699999999999999E-2</v>
      </c>
    </row>
    <row r="83" spans="1:26">
      <c r="A83" s="3" t="s">
        <v>280</v>
      </c>
      <c r="B83" s="3">
        <v>317</v>
      </c>
      <c r="C83" s="53">
        <v>9.0190864197530848E-2</v>
      </c>
      <c r="D83" s="103">
        <v>0.24169564788870879</v>
      </c>
      <c r="E83" s="53">
        <v>0.15958092016299488</v>
      </c>
      <c r="F83" s="103">
        <v>0.11274319857375673</v>
      </c>
      <c r="G83" s="104">
        <v>1.3553519753448984</v>
      </c>
      <c r="H83" s="54">
        <v>1.3567754111266985</v>
      </c>
      <c r="I83" s="53">
        <v>0.12576930385322138</v>
      </c>
      <c r="J83" s="53">
        <v>0.43820902465030337</v>
      </c>
      <c r="K83" s="53">
        <v>6.4354999999999996E-2</v>
      </c>
      <c r="L83" s="53">
        <v>4.7797711791041753E-2</v>
      </c>
      <c r="M83" s="53">
        <v>0.12205499195264412</v>
      </c>
      <c r="N83" s="54">
        <v>0.7038722223983197</v>
      </c>
      <c r="O83" s="54">
        <v>5.6046230766596787</v>
      </c>
      <c r="P83" s="54">
        <v>17.539469415145653</v>
      </c>
      <c r="Q83" s="54">
        <v>22.713777633858793</v>
      </c>
      <c r="R83" s="54">
        <v>5.1419967098307433</v>
      </c>
      <c r="S83" s="54">
        <v>235.20710735258044</v>
      </c>
      <c r="T83" s="53">
        <v>1.237984909365137E-2</v>
      </c>
      <c r="U83" s="103">
        <v>7.6924430416947298E-2</v>
      </c>
      <c r="V83" s="53">
        <v>6.9392997898686956E-2</v>
      </c>
      <c r="W83" s="103">
        <v>0.40565234355200125</v>
      </c>
      <c r="X83" s="53">
        <v>0.20902108693447333</v>
      </c>
      <c r="Y83" s="53">
        <v>2.7408126710641995E-2</v>
      </c>
      <c r="Z83" s="103">
        <v>0.54210000000000003</v>
      </c>
    </row>
    <row r="84" spans="1:26">
      <c r="A84" s="3" t="s">
        <v>281</v>
      </c>
      <c r="B84" s="3">
        <v>151</v>
      </c>
      <c r="C84" s="53">
        <v>0.12337151515151509</v>
      </c>
      <c r="D84" s="103">
        <v>-1.2954327921633164E-4</v>
      </c>
      <c r="E84" s="53">
        <v>1.3073769344178877E-2</v>
      </c>
      <c r="F84" s="103">
        <v>8.3155993719421215E-2</v>
      </c>
      <c r="G84" s="104">
        <v>1.2987745259934127</v>
      </c>
      <c r="H84" s="54">
        <v>1.3617461374106075</v>
      </c>
      <c r="I84" s="53">
        <v>0.12608792740801994</v>
      </c>
      <c r="J84" s="53">
        <v>0.4698226412977678</v>
      </c>
      <c r="K84" s="53">
        <v>6.4354999999999996E-2</v>
      </c>
      <c r="L84" s="53">
        <v>9.975444577952966E-2</v>
      </c>
      <c r="M84" s="53">
        <v>0.11830432607700352</v>
      </c>
      <c r="N84" s="54">
        <v>0.87876345257354582</v>
      </c>
      <c r="O84" s="54">
        <v>6.014836641489655</v>
      </c>
      <c r="P84" s="54">
        <v>20.437795067593832</v>
      </c>
      <c r="Q84" s="54" t="s">
        <v>584</v>
      </c>
      <c r="R84" s="54">
        <v>7.9662272263700649</v>
      </c>
      <c r="S84" s="54">
        <v>62.967863533904847</v>
      </c>
      <c r="T84" s="53">
        <v>5.2075579926891671E-2</v>
      </c>
      <c r="U84" s="103">
        <v>9.6402675767557552E-2</v>
      </c>
      <c r="V84" s="53">
        <v>3.3495177178797853E-2</v>
      </c>
      <c r="W84" s="103" t="s">
        <v>584</v>
      </c>
      <c r="X84" s="53">
        <v>-0.1000445714406943</v>
      </c>
      <c r="Y84" s="53">
        <v>3.7426538106636142E-3</v>
      </c>
      <c r="Z84" s="103">
        <v>2.8454999999999999</v>
      </c>
    </row>
    <row r="85" spans="1:26">
      <c r="A85" s="3" t="s">
        <v>282</v>
      </c>
      <c r="B85" s="3">
        <v>1616</v>
      </c>
      <c r="C85" s="53">
        <v>0.14317631639722875</v>
      </c>
      <c r="D85" s="103">
        <v>0.20298274566458832</v>
      </c>
      <c r="E85" s="53">
        <v>0.18335837660819065</v>
      </c>
      <c r="F85" s="103">
        <v>8.1782351008806209E-2</v>
      </c>
      <c r="G85" s="104">
        <v>1.2856288444138277</v>
      </c>
      <c r="H85" s="54">
        <v>1.2989897339228438</v>
      </c>
      <c r="I85" s="53">
        <v>0.1220652419444543</v>
      </c>
      <c r="J85" s="53">
        <v>0.43591421376196465</v>
      </c>
      <c r="K85" s="53">
        <v>6.4354999999999996E-2</v>
      </c>
      <c r="L85" s="53">
        <v>5.8498553215884729E-2</v>
      </c>
      <c r="M85" s="53">
        <v>0.11773606072885792</v>
      </c>
      <c r="N85" s="54">
        <v>0.93431463114526914</v>
      </c>
      <c r="O85" s="54">
        <v>9.2021360326786272</v>
      </c>
      <c r="P85" s="54">
        <v>28.477414772492683</v>
      </c>
      <c r="Q85" s="54">
        <v>41.069427617896672</v>
      </c>
      <c r="R85" s="54">
        <v>9.1521655273789015</v>
      </c>
      <c r="S85" s="54">
        <v>96.429558616104799</v>
      </c>
      <c r="T85" s="53">
        <v>0.13353321179634448</v>
      </c>
      <c r="U85" s="103">
        <v>0.15468778387373933</v>
      </c>
      <c r="V85" s="53">
        <v>5.8858352723089355E-2</v>
      </c>
      <c r="W85" s="103">
        <v>0.47630101656615403</v>
      </c>
      <c r="X85" s="53">
        <v>0.16957095297200744</v>
      </c>
      <c r="Y85" s="53">
        <v>0.32891322539673207</v>
      </c>
      <c r="Z85" s="103">
        <v>0.89</v>
      </c>
    </row>
    <row r="86" spans="1:26">
      <c r="A86" s="3" t="s">
        <v>283</v>
      </c>
      <c r="B86" s="3">
        <v>718</v>
      </c>
      <c r="C86" s="53">
        <v>8.9877693761814953E-2</v>
      </c>
      <c r="D86" s="103">
        <v>7.1953279154266442E-2</v>
      </c>
      <c r="E86" s="53">
        <v>9.0490646917452996E-2</v>
      </c>
      <c r="F86" s="103">
        <v>0.14045727797487262</v>
      </c>
      <c r="G86" s="104">
        <v>1.0067866757688511</v>
      </c>
      <c r="H86" s="54">
        <v>1.1651510574107107</v>
      </c>
      <c r="I86" s="53">
        <v>0.11348618278002656</v>
      </c>
      <c r="J86" s="53">
        <v>0.32684206346899725</v>
      </c>
      <c r="K86" s="53">
        <v>6.4354999999999996E-2</v>
      </c>
      <c r="L86" s="53">
        <v>0.29282307986344297</v>
      </c>
      <c r="M86" s="53">
        <v>9.43279783811177E-2</v>
      </c>
      <c r="N86" s="54">
        <v>1.4569431690097066</v>
      </c>
      <c r="O86" s="54">
        <v>0.82345152227004692</v>
      </c>
      <c r="P86" s="54">
        <v>6.8965107139084347</v>
      </c>
      <c r="Q86" s="54">
        <v>10.902342900094528</v>
      </c>
      <c r="R86" s="54">
        <v>1.1441036709966868</v>
      </c>
      <c r="S86" s="54">
        <v>42.976377741324214</v>
      </c>
      <c r="T86" s="53">
        <v>0.14636397364702697</v>
      </c>
      <c r="U86" s="103">
        <v>3.1576044068549095E-2</v>
      </c>
      <c r="V86" s="53">
        <v>3.8355539277544926E-2</v>
      </c>
      <c r="W86" s="103">
        <v>0.53656824682116389</v>
      </c>
      <c r="X86" s="53">
        <v>1.0149487153178546E-4</v>
      </c>
      <c r="Y86" s="53">
        <v>0.50757038626113782</v>
      </c>
      <c r="Z86" s="103">
        <v>0.55210000000000004</v>
      </c>
    </row>
    <row r="87" spans="1:26">
      <c r="A87" s="3" t="s">
        <v>284</v>
      </c>
      <c r="B87" s="3">
        <v>98</v>
      </c>
      <c r="C87" s="53">
        <v>5.8909873417721491E-2</v>
      </c>
      <c r="D87" s="103">
        <v>0.14363733622497779</v>
      </c>
      <c r="E87" s="53">
        <v>8.3083945264971218E-2</v>
      </c>
      <c r="F87" s="103">
        <v>0.1776953199855498</v>
      </c>
      <c r="G87" s="104">
        <v>0.65306669844642107</v>
      </c>
      <c r="H87" s="54">
        <v>0.89702716273321637</v>
      </c>
      <c r="I87" s="53">
        <v>9.6299441131199176E-2</v>
      </c>
      <c r="J87" s="53">
        <v>0.29268715180378874</v>
      </c>
      <c r="K87" s="53">
        <v>6.4354999999999996E-2</v>
      </c>
      <c r="L87" s="53">
        <v>0.40042659317895096</v>
      </c>
      <c r="M87" s="53">
        <v>7.6983211796126785E-2</v>
      </c>
      <c r="N87" s="54">
        <v>0.70559134798484291</v>
      </c>
      <c r="O87" s="54">
        <v>2.2521573000348893</v>
      </c>
      <c r="P87" s="54">
        <v>7.3658215226325741</v>
      </c>
      <c r="Q87" s="54">
        <v>15.636398623682114</v>
      </c>
      <c r="R87" s="54">
        <v>1.5396711794028612</v>
      </c>
      <c r="S87" s="54">
        <v>33.140192317051493</v>
      </c>
      <c r="T87" s="53">
        <v>-0.13702130661688386</v>
      </c>
      <c r="U87" s="103">
        <v>-4.8848706537620171E-3</v>
      </c>
      <c r="V87" s="53">
        <v>1.5600504167240693E-2</v>
      </c>
      <c r="W87" s="103">
        <v>0.30505836377849743</v>
      </c>
      <c r="X87" s="53">
        <v>8.1817965354738606E-2</v>
      </c>
      <c r="Y87" s="53">
        <v>0.73581410704959538</v>
      </c>
      <c r="Z87" s="103">
        <v>5.4899999999999997E-2</v>
      </c>
    </row>
    <row r="88" spans="1:26">
      <c r="A88" s="3" t="s">
        <v>285</v>
      </c>
      <c r="B88" s="3">
        <v>453</v>
      </c>
      <c r="C88" s="53">
        <v>4.597224324324331E-2</v>
      </c>
      <c r="D88" s="103">
        <v>0.11104279290678641</v>
      </c>
      <c r="E88" s="53">
        <v>0.13621198637699075</v>
      </c>
      <c r="F88" s="103">
        <v>7.8711382828809115E-2</v>
      </c>
      <c r="G88" s="104">
        <v>1.1744668677688679</v>
      </c>
      <c r="H88" s="54">
        <v>1.1857162349929411</v>
      </c>
      <c r="I88" s="53">
        <v>0.11480441066304753</v>
      </c>
      <c r="J88" s="53">
        <v>0.36121152315507654</v>
      </c>
      <c r="K88" s="53">
        <v>6.4354999999999996E-2</v>
      </c>
      <c r="L88" s="53">
        <v>0.1142283270036728</v>
      </c>
      <c r="M88" s="53">
        <v>0.10718034416385619</v>
      </c>
      <c r="N88" s="54">
        <v>1.2621053433181888</v>
      </c>
      <c r="O88" s="54">
        <v>2.3180551802022662</v>
      </c>
      <c r="P88" s="54">
        <v>14.280877316972687</v>
      </c>
      <c r="Q88" s="54">
        <v>19.412425519408654</v>
      </c>
      <c r="R88" s="54">
        <v>3.4564201757538755</v>
      </c>
      <c r="S88" s="54">
        <v>120.31624232759637</v>
      </c>
      <c r="T88" s="53">
        <v>0.2467526994732748</v>
      </c>
      <c r="U88" s="103">
        <v>5.5885499621082552E-2</v>
      </c>
      <c r="V88" s="53">
        <v>2.5610341352148045E-2</v>
      </c>
      <c r="W88" s="103">
        <v>0.53624243524757387</v>
      </c>
      <c r="X88" s="53">
        <v>0.12935477470221635</v>
      </c>
      <c r="Y88" s="53">
        <v>0.53281684273348318</v>
      </c>
      <c r="Z88" s="103">
        <v>1.1647000000000001</v>
      </c>
    </row>
    <row r="89" spans="1:26">
      <c r="A89" s="3" t="s">
        <v>286</v>
      </c>
      <c r="B89" s="3">
        <v>288</v>
      </c>
      <c r="C89" s="53">
        <v>8.3990325581395367E-2</v>
      </c>
      <c r="D89" s="103">
        <v>0.15496235461394561</v>
      </c>
      <c r="E89" s="53">
        <v>9.502129852429432E-2</v>
      </c>
      <c r="F89" s="103">
        <v>0.13311420339943295</v>
      </c>
      <c r="G89" s="104">
        <v>0.54380765893084926</v>
      </c>
      <c r="H89" s="54">
        <v>0.84937394426990198</v>
      </c>
      <c r="I89" s="53">
        <v>9.3244869827700722E-2</v>
      </c>
      <c r="J89" s="53">
        <v>0.30131886139364733</v>
      </c>
      <c r="K89" s="53">
        <v>6.4354999999999996E-2</v>
      </c>
      <c r="L89" s="53">
        <v>0.45672240461702718</v>
      </c>
      <c r="M89" s="53">
        <v>7.2608070838520944E-2</v>
      </c>
      <c r="N89" s="54">
        <v>0.70336611562835483</v>
      </c>
      <c r="O89" s="54">
        <v>2.1627790318150595</v>
      </c>
      <c r="P89" s="54">
        <v>6.8782617323965107</v>
      </c>
      <c r="Q89" s="54">
        <v>13.87123121304074</v>
      </c>
      <c r="R89" s="54">
        <v>1.3805704498802143</v>
      </c>
      <c r="S89" s="54">
        <v>41.987956622506964</v>
      </c>
      <c r="T89" s="53">
        <v>-2.2673400403473124E-3</v>
      </c>
      <c r="U89" s="103">
        <v>-6.0283538442271873E-4</v>
      </c>
      <c r="V89" s="53">
        <v>-1.4085192899059247E-2</v>
      </c>
      <c r="W89" s="103">
        <v>-3.2843039502150062E-2</v>
      </c>
      <c r="X89" s="53">
        <v>7.7965825034148964E-2</v>
      </c>
      <c r="Y89" s="53">
        <v>0.89726292934699314</v>
      </c>
      <c r="Z89" s="103">
        <v>0.1409</v>
      </c>
    </row>
    <row r="90" spans="1:26">
      <c r="A90" s="3" t="s">
        <v>287</v>
      </c>
      <c r="B90" s="3">
        <v>56</v>
      </c>
      <c r="C90" s="53">
        <v>0.17277631578947372</v>
      </c>
      <c r="D90" s="103">
        <v>0.33820878781268088</v>
      </c>
      <c r="E90" s="53">
        <v>0.23171724996207485</v>
      </c>
      <c r="F90" s="103">
        <v>0.17406817384601331</v>
      </c>
      <c r="G90" s="104">
        <v>0.55335166411883363</v>
      </c>
      <c r="H90" s="54">
        <v>0.66681534728718983</v>
      </c>
      <c r="I90" s="53">
        <v>8.1542863761108864E-2</v>
      </c>
      <c r="J90" s="53">
        <v>0.31215895747055444</v>
      </c>
      <c r="K90" s="53">
        <v>6.4354999999999996E-2</v>
      </c>
      <c r="L90" s="53">
        <v>0.2486214464550604</v>
      </c>
      <c r="M90" s="53">
        <v>7.3218383808498447E-2</v>
      </c>
      <c r="N90" s="54">
        <v>0.82776359486461115</v>
      </c>
      <c r="O90" s="54">
        <v>3.4660578760708209</v>
      </c>
      <c r="P90" s="54">
        <v>9.3346134735871544</v>
      </c>
      <c r="Q90" s="54">
        <v>10.234059067347866</v>
      </c>
      <c r="R90" s="54">
        <v>3.165594026107247</v>
      </c>
      <c r="S90" s="54">
        <v>32.34526176009394</v>
      </c>
      <c r="T90" s="53">
        <v>0.16055763294660808</v>
      </c>
      <c r="U90" s="103">
        <v>-3.9573561387867613E-2</v>
      </c>
      <c r="V90" s="53">
        <v>0.12228402836106581</v>
      </c>
      <c r="W90" s="103">
        <v>0.547914256652139</v>
      </c>
      <c r="X90" s="53">
        <v>0.28431447473661764</v>
      </c>
      <c r="Y90" s="53">
        <v>0.71673295556635797</v>
      </c>
      <c r="Z90" s="103">
        <v>0.68979999999999997</v>
      </c>
    </row>
    <row r="91" spans="1:26">
      <c r="A91" s="3" t="s">
        <v>288</v>
      </c>
      <c r="B91" s="3">
        <v>814</v>
      </c>
      <c r="C91" s="53">
        <v>6.8819829867674889E-2</v>
      </c>
      <c r="D91" s="103">
        <v>8.1986822911340643E-2</v>
      </c>
      <c r="E91" s="53">
        <v>0.11094138504346908</v>
      </c>
      <c r="F91" s="103">
        <v>0.145030251490917</v>
      </c>
      <c r="G91" s="104">
        <v>0.83459832372009224</v>
      </c>
      <c r="H91" s="54">
        <v>0.96150401715756062</v>
      </c>
      <c r="I91" s="53">
        <v>0.10043240749979965</v>
      </c>
      <c r="J91" s="53">
        <v>0.33828754622915935</v>
      </c>
      <c r="K91" s="53">
        <v>6.4354999999999996E-2</v>
      </c>
      <c r="L91" s="53">
        <v>0.23398055283779895</v>
      </c>
      <c r="M91" s="53">
        <v>8.8178356109443634E-2</v>
      </c>
      <c r="N91" s="54">
        <v>1.5702161122553679</v>
      </c>
      <c r="O91" s="54">
        <v>1.7510056071966937</v>
      </c>
      <c r="P91" s="54">
        <v>13.095157810929388</v>
      </c>
      <c r="Q91" s="54">
        <v>20.73464754699225</v>
      </c>
      <c r="R91" s="54">
        <v>2.9795085225017091</v>
      </c>
      <c r="S91" s="54">
        <v>67.818917178040763</v>
      </c>
      <c r="T91" s="53">
        <v>4.1684770419250901E-2</v>
      </c>
      <c r="U91" s="103">
        <v>1.2482659556912757E-2</v>
      </c>
      <c r="V91" s="53">
        <v>1.7927106258437311E-2</v>
      </c>
      <c r="W91" s="103">
        <v>0.26742535673629758</v>
      </c>
      <c r="X91" s="53">
        <v>0.13669978808037947</v>
      </c>
      <c r="Y91" s="53">
        <v>0.70694546110190781</v>
      </c>
      <c r="Z91" s="103">
        <v>0.40620000000000001</v>
      </c>
    </row>
    <row r="92" spans="1:26">
      <c r="A92" s="3" t="s">
        <v>289</v>
      </c>
      <c r="B92" s="3">
        <v>49</v>
      </c>
      <c r="C92" s="53">
        <v>-3.0885714285714284E-3</v>
      </c>
      <c r="D92" s="103">
        <v>0.21558077960900676</v>
      </c>
      <c r="E92" s="53">
        <v>6.9119560768903215E-2</v>
      </c>
      <c r="F92" s="103">
        <v>0.23196974015051325</v>
      </c>
      <c r="G92" s="104">
        <v>0.49774817486891276</v>
      </c>
      <c r="H92" s="54">
        <v>0.62873301396022774</v>
      </c>
      <c r="I92" s="53">
        <v>7.9101786194850601E-2</v>
      </c>
      <c r="J92" s="53">
        <v>0.19255174201825431</v>
      </c>
      <c r="K92" s="53">
        <v>5.8542999999999998E-2</v>
      </c>
      <c r="L92" s="53">
        <v>0.29637583863669564</v>
      </c>
      <c r="M92" s="53">
        <v>6.8615453676364027E-2</v>
      </c>
      <c r="N92" s="54">
        <v>0.41782902810812145</v>
      </c>
      <c r="O92" s="54">
        <v>4.3308076668859918</v>
      </c>
      <c r="P92" s="54">
        <v>13.312399536973738</v>
      </c>
      <c r="Q92" s="54">
        <v>19.991498075481349</v>
      </c>
      <c r="R92" s="54">
        <v>2.3646194357101571</v>
      </c>
      <c r="S92" s="54">
        <v>54.741203880677759</v>
      </c>
      <c r="T92" s="53">
        <v>5.7506948181917567E-2</v>
      </c>
      <c r="U92" s="103">
        <v>0.1203793615216346</v>
      </c>
      <c r="V92" s="53">
        <v>9.3695085422431948E-2</v>
      </c>
      <c r="W92" s="103">
        <v>0.59998074725489892</v>
      </c>
      <c r="X92" s="53">
        <v>0.11847480095542907</v>
      </c>
      <c r="Y92" s="53">
        <v>0.40046902958975961</v>
      </c>
      <c r="Z92" s="103">
        <v>0.53269999999999995</v>
      </c>
    </row>
    <row r="93" spans="1:26">
      <c r="A93" s="3" t="s">
        <v>290</v>
      </c>
      <c r="B93" s="3">
        <v>106</v>
      </c>
      <c r="C93" s="53">
        <v>3.0212820512820499E-2</v>
      </c>
      <c r="D93" s="103">
        <v>8.807371556649024E-2</v>
      </c>
      <c r="E93" s="53">
        <v>0.11601095133243049</v>
      </c>
      <c r="F93" s="103">
        <v>0.20119370845273143</v>
      </c>
      <c r="G93" s="104">
        <v>0.86855446130273672</v>
      </c>
      <c r="H93" s="54">
        <v>1.014247113846068</v>
      </c>
      <c r="I93" s="53">
        <v>0.10381323999753296</v>
      </c>
      <c r="J93" s="53">
        <v>0.29115150502982234</v>
      </c>
      <c r="K93" s="53">
        <v>6.4354999999999996E-2</v>
      </c>
      <c r="L93" s="53">
        <v>0.2228508736235762</v>
      </c>
      <c r="M93" s="53">
        <v>9.1388651731912157E-2</v>
      </c>
      <c r="N93" s="54">
        <v>1.6608901785159869</v>
      </c>
      <c r="O93" s="54">
        <v>1.5858226133716171</v>
      </c>
      <c r="P93" s="54">
        <v>9.9759117010960452</v>
      </c>
      <c r="Q93" s="54">
        <v>17.984157510576409</v>
      </c>
      <c r="R93" s="54">
        <v>2.8560845316782566</v>
      </c>
      <c r="S93" s="54">
        <v>27.978465612651178</v>
      </c>
      <c r="T93" s="53">
        <v>6.887580582714127E-2</v>
      </c>
      <c r="U93" s="103">
        <v>4.1274743550647898E-2</v>
      </c>
      <c r="V93" s="53">
        <v>7.0906288771700826E-2</v>
      </c>
      <c r="W93" s="103">
        <v>1.0534268769842428</v>
      </c>
      <c r="X93" s="53">
        <v>0.12020693727190154</v>
      </c>
      <c r="Y93" s="53">
        <v>0.20666338943773319</v>
      </c>
      <c r="Z93" s="103">
        <v>1.2805</v>
      </c>
    </row>
    <row r="94" spans="1:26">
      <c r="A94" s="3" t="s">
        <v>291</v>
      </c>
      <c r="B94" s="3">
        <v>50</v>
      </c>
      <c r="C94" s="53">
        <v>7.822044444444444E-2</v>
      </c>
      <c r="D94" s="103">
        <v>0.12231260144390178</v>
      </c>
      <c r="E94" s="53">
        <v>8.3203294891983776E-2</v>
      </c>
      <c r="F94" s="103">
        <v>0.1633707220090673</v>
      </c>
      <c r="G94" s="104">
        <v>0.450628600024159</v>
      </c>
      <c r="H94" s="54">
        <v>0.68332120062878321</v>
      </c>
      <c r="I94" s="53">
        <v>8.2600888960305013E-2</v>
      </c>
      <c r="J94" s="53">
        <v>0.18493219542658187</v>
      </c>
      <c r="K94" s="53">
        <v>5.8542999999999998E-2</v>
      </c>
      <c r="L94" s="53">
        <v>0.44487456960580835</v>
      </c>
      <c r="M94" s="53">
        <v>6.5303731247185803E-2</v>
      </c>
      <c r="N94" s="54">
        <v>0.81265791645656826</v>
      </c>
      <c r="O94" s="54">
        <v>1.8774889614873247</v>
      </c>
      <c r="P94" s="54">
        <v>9.8576400464813911</v>
      </c>
      <c r="Q94" s="54">
        <v>15.288914408255289</v>
      </c>
      <c r="R94" s="54">
        <v>1.6154897142974749</v>
      </c>
      <c r="S94" s="54">
        <v>20.35742084554553</v>
      </c>
      <c r="T94" s="53">
        <v>-5.9726752264008982E-3</v>
      </c>
      <c r="U94" s="103">
        <v>9.3012239371143265E-2</v>
      </c>
      <c r="V94" s="53">
        <v>7.7470213531287552E-2</v>
      </c>
      <c r="W94" s="103">
        <v>0.78421627401339178</v>
      </c>
      <c r="X94" s="53">
        <v>0.10614481878166143</v>
      </c>
      <c r="Y94" s="53">
        <v>0.66703361608745293</v>
      </c>
      <c r="Z94" s="103">
        <v>0.749</v>
      </c>
    </row>
    <row r="95" spans="1:26">
      <c r="A95" s="3" t="s">
        <v>292</v>
      </c>
      <c r="B95" s="3">
        <v>102</v>
      </c>
      <c r="C95" s="53">
        <v>6.4320126582278495E-2</v>
      </c>
      <c r="D95" s="103">
        <v>0.23252182611504202</v>
      </c>
      <c r="E95" s="53">
        <v>6.9405091219880338E-2</v>
      </c>
      <c r="F95" s="103">
        <v>0.14058888548396203</v>
      </c>
      <c r="G95" s="104">
        <v>0.42747496428667964</v>
      </c>
      <c r="H95" s="54">
        <v>0.67007062372170145</v>
      </c>
      <c r="I95" s="53">
        <v>8.1751526980561068E-2</v>
      </c>
      <c r="J95" s="53">
        <v>0.34377339651496613</v>
      </c>
      <c r="K95" s="53">
        <v>5.8542999999999998E-2</v>
      </c>
      <c r="L95" s="53">
        <v>0.46441396893036424</v>
      </c>
      <c r="M95" s="53">
        <v>6.4089113908372797E-2</v>
      </c>
      <c r="N95" s="54">
        <v>0.31191832028707545</v>
      </c>
      <c r="O95" s="54">
        <v>4.586730603072259</v>
      </c>
      <c r="P95" s="54">
        <v>12.671747297577292</v>
      </c>
      <c r="Q95" s="54">
        <v>19.574007838517673</v>
      </c>
      <c r="R95" s="54">
        <v>1.4758103846880883</v>
      </c>
      <c r="S95" s="54">
        <v>26.689561208834522</v>
      </c>
      <c r="T95" s="53">
        <v>7.3514917165189764E-2</v>
      </c>
      <c r="U95" s="103">
        <v>0.14186564829322693</v>
      </c>
      <c r="V95" s="53">
        <v>0.11572837757579656</v>
      </c>
      <c r="W95" s="103">
        <v>0.96245008986535185</v>
      </c>
      <c r="X95" s="53">
        <v>7.9670476697321385E-2</v>
      </c>
      <c r="Y95" s="53">
        <v>0.46710436060400684</v>
      </c>
      <c r="Z95" s="103">
        <v>1.1306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600BF-8587-4F70-984D-CD566A3DC282}">
  <sheetPr>
    <tabColor theme="4" tint="0.39997558519241921"/>
  </sheetPr>
  <dimension ref="A1:K165"/>
  <sheetViews>
    <sheetView workbookViewId="0">
      <pane ySplit="1" topLeftCell="A2" activePane="bottomLeft" state="frozen"/>
      <selection pane="bottomLeft" activeCell="D149" sqref="D149"/>
    </sheetView>
  </sheetViews>
  <sheetFormatPr defaultRowHeight="15"/>
  <cols>
    <col min="1" max="1" width="29.42578125" style="3" bestFit="1" customWidth="1"/>
    <col min="2" max="2" width="18.42578125" style="3" bestFit="1" customWidth="1"/>
    <col min="3" max="3" width="20" style="3" bestFit="1" customWidth="1"/>
    <col min="4" max="4" width="20.140625" style="3" bestFit="1" customWidth="1"/>
    <col min="5" max="5" width="22.5703125" style="3" bestFit="1" customWidth="1"/>
    <col min="6" max="6" width="19.85546875" style="3" bestFit="1" customWidth="1"/>
    <col min="7" max="7" width="8.28515625" style="3" bestFit="1" customWidth="1"/>
    <col min="8" max="9" width="9.140625" style="3"/>
    <col min="10" max="10" width="29.42578125" style="3" bestFit="1" customWidth="1"/>
    <col min="11" max="11" width="9.140625" style="3"/>
    <col min="12" max="12" width="29.42578125" style="3" bestFit="1" customWidth="1"/>
    <col min="13" max="16384" width="9.140625" style="3"/>
  </cols>
  <sheetData>
    <row r="1" spans="1:11" ht="15.75">
      <c r="A1" s="105" t="s">
        <v>35</v>
      </c>
      <c r="B1" s="106" t="s">
        <v>585</v>
      </c>
      <c r="C1" s="105" t="s">
        <v>586</v>
      </c>
      <c r="D1" s="105" t="s">
        <v>587</v>
      </c>
      <c r="E1" s="107" t="s">
        <v>588</v>
      </c>
      <c r="F1" s="107" t="s">
        <v>589</v>
      </c>
      <c r="G1" s="105" t="s">
        <v>36</v>
      </c>
      <c r="K1" s="113" t="s">
        <v>674</v>
      </c>
    </row>
    <row r="2" spans="1:11">
      <c r="A2" s="3" t="s">
        <v>37</v>
      </c>
      <c r="B2" s="3">
        <v>415</v>
      </c>
      <c r="C2" s="53">
        <v>6.0399082568807346E-3</v>
      </c>
      <c r="D2" s="53">
        <f>$D$148+E2</f>
        <v>5.3520043164007207E-2</v>
      </c>
      <c r="E2" s="53">
        <v>8.5200431640072103E-3</v>
      </c>
      <c r="F2" s="53">
        <v>0.15</v>
      </c>
      <c r="G2" s="3" t="s">
        <v>38</v>
      </c>
      <c r="K2" s="58"/>
    </row>
    <row r="3" spans="1:11">
      <c r="A3" s="3" t="s">
        <v>39</v>
      </c>
      <c r="B3" s="3">
        <v>13.04</v>
      </c>
      <c r="C3" s="53">
        <v>5.5078211009174309E-2</v>
      </c>
      <c r="D3" s="53">
        <f>$D$148+E3</f>
        <v>0.12269467932892289</v>
      </c>
      <c r="E3" s="53">
        <v>7.7694679328922892E-2</v>
      </c>
      <c r="F3" s="53">
        <v>0.15</v>
      </c>
      <c r="G3" s="3" t="s">
        <v>40</v>
      </c>
      <c r="K3" s="58"/>
    </row>
    <row r="4" spans="1:11">
      <c r="A4" s="3" t="s">
        <v>590</v>
      </c>
      <c r="B4" s="3">
        <v>3.01</v>
      </c>
      <c r="C4" s="53">
        <v>2.3296788990825688E-2</v>
      </c>
      <c r="D4" s="53">
        <f t="shared" ref="D4:D67" si="0">$D$148+E4</f>
        <v>7.7863023632599226E-2</v>
      </c>
      <c r="E4" s="53">
        <v>3.2863023632599235E-2</v>
      </c>
      <c r="F4" s="53">
        <v>0.1</v>
      </c>
      <c r="G4" s="3" t="s">
        <v>42</v>
      </c>
      <c r="K4" s="58"/>
    </row>
    <row r="5" spans="1:11">
      <c r="A5" s="3" t="s">
        <v>43</v>
      </c>
      <c r="B5" s="3">
        <v>124.21</v>
      </c>
      <c r="C5" s="53">
        <v>7.9525458715596339E-2</v>
      </c>
      <c r="D5" s="53">
        <f t="shared" si="0"/>
        <v>0.15718056832609495</v>
      </c>
      <c r="E5" s="53">
        <v>0.11218056832609494</v>
      </c>
      <c r="F5" s="53">
        <v>0.25</v>
      </c>
      <c r="G5" s="3" t="s">
        <v>44</v>
      </c>
      <c r="K5" s="58"/>
    </row>
    <row r="6" spans="1:11">
      <c r="A6" s="3" t="s">
        <v>45</v>
      </c>
      <c r="B6" s="3">
        <v>637.59</v>
      </c>
      <c r="C6" s="53">
        <v>0.14682729357798166</v>
      </c>
      <c r="D6" s="53">
        <f t="shared" si="0"/>
        <v>0.25211819215360387</v>
      </c>
      <c r="E6" s="53">
        <v>0.20711819215360386</v>
      </c>
      <c r="F6" s="53">
        <v>0.35</v>
      </c>
      <c r="G6" s="3" t="s">
        <v>46</v>
      </c>
      <c r="K6" s="58"/>
    </row>
    <row r="7" spans="1:11">
      <c r="A7" s="3" t="s">
        <v>47</v>
      </c>
      <c r="B7" s="3">
        <v>11.54</v>
      </c>
      <c r="C7" s="53">
        <v>4.4005045871559637E-2</v>
      </c>
      <c r="D7" s="53">
        <f t="shared" si="0"/>
        <v>0.10707460019490968</v>
      </c>
      <c r="E7" s="53">
        <v>6.2074600194909679E-2</v>
      </c>
      <c r="F7" s="53">
        <v>0.18</v>
      </c>
      <c r="G7" s="3" t="s">
        <v>40</v>
      </c>
      <c r="K7" s="58"/>
    </row>
    <row r="8" spans="1:11">
      <c r="A8" s="3" t="s">
        <v>48</v>
      </c>
      <c r="B8" s="3">
        <v>3</v>
      </c>
      <c r="C8" s="53">
        <v>2.3296788990825688E-2</v>
      </c>
      <c r="D8" s="53">
        <f t="shared" si="0"/>
        <v>7.7863023632599226E-2</v>
      </c>
      <c r="E8" s="53">
        <v>3.2863023632599235E-2</v>
      </c>
      <c r="F8" s="53">
        <v>0.25</v>
      </c>
      <c r="G8" s="3" t="s">
        <v>49</v>
      </c>
      <c r="K8" s="58"/>
    </row>
    <row r="9" spans="1:11">
      <c r="A9" s="3" t="s">
        <v>50</v>
      </c>
      <c r="B9" s="3">
        <v>1323.42</v>
      </c>
      <c r="C9" s="53">
        <v>0</v>
      </c>
      <c r="D9" s="53">
        <f t="shared" si="0"/>
        <v>4.4999999999999998E-2</v>
      </c>
      <c r="E9" s="53">
        <v>0</v>
      </c>
      <c r="F9" s="53">
        <v>0.3</v>
      </c>
      <c r="G9" s="3" t="s">
        <v>51</v>
      </c>
      <c r="K9" s="58"/>
    </row>
    <row r="10" spans="1:11">
      <c r="A10" s="3" t="s">
        <v>52</v>
      </c>
      <c r="B10" s="3">
        <v>416.6</v>
      </c>
      <c r="C10" s="53">
        <v>4.8894495412844033E-3</v>
      </c>
      <c r="D10" s="53">
        <f t="shared" si="0"/>
        <v>5.1897177799434403E-2</v>
      </c>
      <c r="E10" s="53">
        <v>6.8971777994344076E-3</v>
      </c>
      <c r="F10" s="53">
        <v>0.24</v>
      </c>
      <c r="G10" s="3" t="s">
        <v>42</v>
      </c>
      <c r="K10" s="58"/>
    </row>
    <row r="11" spans="1:11">
      <c r="A11" s="3" t="s">
        <v>53</v>
      </c>
      <c r="B11" s="3">
        <v>40.75</v>
      </c>
      <c r="C11" s="53">
        <v>3.0630963302752296E-2</v>
      </c>
      <c r="D11" s="53">
        <f t="shared" si="0"/>
        <v>8.8208790331750858E-2</v>
      </c>
      <c r="E11" s="53">
        <v>4.3208790331750853E-2</v>
      </c>
      <c r="F11" s="53">
        <v>0.2</v>
      </c>
      <c r="G11" s="3" t="s">
        <v>40</v>
      </c>
      <c r="K11" s="58"/>
    </row>
    <row r="12" spans="1:11">
      <c r="A12" s="3" t="s">
        <v>54</v>
      </c>
      <c r="B12" s="3">
        <v>12.16</v>
      </c>
      <c r="C12" s="53">
        <v>5.5078211009174309E-2</v>
      </c>
      <c r="D12" s="53">
        <f t="shared" si="0"/>
        <v>0.12269467932892289</v>
      </c>
      <c r="E12" s="53">
        <v>7.7694679328922892E-2</v>
      </c>
      <c r="F12" s="53">
        <v>0</v>
      </c>
      <c r="G12" s="3" t="s">
        <v>49</v>
      </c>
      <c r="K12" s="58"/>
    </row>
    <row r="13" spans="1:11">
      <c r="A13" s="3" t="s">
        <v>55</v>
      </c>
      <c r="B13" s="3">
        <v>35.31</v>
      </c>
      <c r="C13" s="53">
        <v>6.7301834862385335E-2</v>
      </c>
      <c r="D13" s="53">
        <f t="shared" si="0"/>
        <v>0.13993762382750893</v>
      </c>
      <c r="E13" s="53">
        <v>9.4937623827508935E-2</v>
      </c>
      <c r="F13" s="53">
        <v>0</v>
      </c>
      <c r="G13" s="3" t="s">
        <v>38</v>
      </c>
      <c r="K13" s="58"/>
    </row>
    <row r="14" spans="1:11">
      <c r="A14" s="3" t="s">
        <v>56</v>
      </c>
      <c r="B14" s="3">
        <v>249.72</v>
      </c>
      <c r="C14" s="53">
        <v>4.4005045871559637E-2</v>
      </c>
      <c r="D14" s="53">
        <f t="shared" si="0"/>
        <v>0.10707460019490968</v>
      </c>
      <c r="E14" s="53">
        <v>6.2074600194909679E-2</v>
      </c>
      <c r="F14" s="53">
        <v>0.32500000000000001</v>
      </c>
      <c r="G14" s="3" t="s">
        <v>57</v>
      </c>
      <c r="K14" s="58"/>
    </row>
    <row r="15" spans="1:11">
      <c r="A15" s="3" t="s">
        <v>58</v>
      </c>
      <c r="B15" s="3">
        <v>4.8</v>
      </c>
      <c r="C15" s="53">
        <v>9.1749082568807344E-2</v>
      </c>
      <c r="D15" s="53">
        <f t="shared" si="0"/>
        <v>0.17442351282468094</v>
      </c>
      <c r="E15" s="53">
        <v>0.12942351282468095</v>
      </c>
      <c r="F15" s="53">
        <v>5.5E-2</v>
      </c>
      <c r="G15" s="3" t="s">
        <v>49</v>
      </c>
      <c r="K15" s="58"/>
    </row>
    <row r="16" spans="1:11">
      <c r="A16" s="3" t="s">
        <v>59</v>
      </c>
      <c r="B16" s="3">
        <v>54.44</v>
      </c>
      <c r="C16" s="53">
        <v>0.14682729357798166</v>
      </c>
      <c r="D16" s="53">
        <f t="shared" si="0"/>
        <v>0.25211819215360387</v>
      </c>
      <c r="E16" s="53">
        <v>0.20711819215360386</v>
      </c>
      <c r="F16" s="53">
        <v>0.18</v>
      </c>
      <c r="G16" s="3" t="s">
        <v>40</v>
      </c>
      <c r="K16" s="58"/>
    </row>
    <row r="17" spans="1:11">
      <c r="A17" s="3" t="s">
        <v>60</v>
      </c>
      <c r="B17" s="3">
        <v>492.68</v>
      </c>
      <c r="C17" s="53">
        <v>7.3341743119266058E-3</v>
      </c>
      <c r="D17" s="53">
        <f t="shared" si="0"/>
        <v>5.5345766699151609E-2</v>
      </c>
      <c r="E17" s="53">
        <v>1.0345766699151613E-2</v>
      </c>
      <c r="F17" s="53">
        <v>0.25</v>
      </c>
      <c r="G17" s="3" t="s">
        <v>42</v>
      </c>
      <c r="K17" s="58"/>
    </row>
    <row r="18" spans="1:11">
      <c r="A18" s="3" t="s">
        <v>61</v>
      </c>
      <c r="B18" s="3">
        <v>1.84</v>
      </c>
      <c r="C18" s="53">
        <v>0.11015642201834862</v>
      </c>
      <c r="D18" s="53">
        <f t="shared" si="0"/>
        <v>0.2003893586578458</v>
      </c>
      <c r="E18" s="53">
        <v>0.15538935865784578</v>
      </c>
      <c r="F18" s="53"/>
      <c r="G18" s="3" t="s">
        <v>46</v>
      </c>
      <c r="K18" s="58"/>
    </row>
    <row r="19" spans="1:11">
      <c r="A19" s="3" t="s">
        <v>63</v>
      </c>
      <c r="B19" s="3">
        <v>6.2</v>
      </c>
      <c r="C19" s="53">
        <v>1.0354128440366973E-2</v>
      </c>
      <c r="D19" s="53">
        <f t="shared" si="0"/>
        <v>5.9605788281155217E-2</v>
      </c>
      <c r="E19" s="53">
        <v>1.4605788281155217E-2</v>
      </c>
      <c r="F19" s="53">
        <v>0</v>
      </c>
      <c r="G19" s="3" t="s">
        <v>49</v>
      </c>
      <c r="K19" s="58"/>
    </row>
    <row r="20" spans="1:11">
      <c r="A20" s="3" t="s">
        <v>64</v>
      </c>
      <c r="B20" s="3">
        <v>37.51</v>
      </c>
      <c r="C20" s="53">
        <v>6.7301834862385335E-2</v>
      </c>
      <c r="D20" s="53">
        <f t="shared" si="0"/>
        <v>0.13993762382750893</v>
      </c>
      <c r="E20" s="53">
        <v>9.4937623827508935E-2</v>
      </c>
      <c r="F20" s="53">
        <v>0.25</v>
      </c>
      <c r="G20" s="3" t="s">
        <v>46</v>
      </c>
      <c r="K20" s="58"/>
    </row>
    <row r="21" spans="1:11">
      <c r="A21" s="3" t="s">
        <v>65</v>
      </c>
      <c r="B21" s="3">
        <v>18.170000000000002</v>
      </c>
      <c r="C21" s="53">
        <v>7.9525458715596339E-2</v>
      </c>
      <c r="D21" s="53">
        <f t="shared" si="0"/>
        <v>0.15718056832609495</v>
      </c>
      <c r="E21" s="53">
        <v>0.11218056832609494</v>
      </c>
      <c r="F21" s="53">
        <v>0.1</v>
      </c>
      <c r="G21" s="3" t="s">
        <v>40</v>
      </c>
      <c r="K21" s="58"/>
    </row>
    <row r="22" spans="1:11">
      <c r="A22" s="3" t="s">
        <v>66</v>
      </c>
      <c r="B22" s="3">
        <v>17.406530780715503</v>
      </c>
      <c r="C22" s="53">
        <v>1.4668348623853212E-2</v>
      </c>
      <c r="D22" s="53">
        <f t="shared" si="0"/>
        <v>6.569153339830322E-2</v>
      </c>
      <c r="E22" s="53">
        <v>2.0691533398303225E-2</v>
      </c>
      <c r="F22" s="53">
        <v>0.22</v>
      </c>
      <c r="G22" s="3" t="s">
        <v>44</v>
      </c>
      <c r="K22" s="58"/>
    </row>
    <row r="23" spans="1:11">
      <c r="A23" s="3" t="s">
        <v>67</v>
      </c>
      <c r="B23" s="3">
        <v>2055.5055022247288</v>
      </c>
      <c r="C23" s="53">
        <v>3.6814678899082569E-2</v>
      </c>
      <c r="D23" s="53">
        <f t="shared" si="0"/>
        <v>9.6931691666329658E-2</v>
      </c>
      <c r="E23" s="53">
        <v>5.193169166632966E-2</v>
      </c>
      <c r="F23" s="53">
        <v>0.34</v>
      </c>
      <c r="G23" s="3" t="s">
        <v>46</v>
      </c>
      <c r="K23" s="58"/>
    </row>
    <row r="24" spans="1:11">
      <c r="A24" s="3" t="s">
        <v>68</v>
      </c>
      <c r="B24" s="3">
        <v>56.831518294439654</v>
      </c>
      <c r="C24" s="53">
        <v>1.9557798165137613E-2</v>
      </c>
      <c r="D24" s="53">
        <f t="shared" si="0"/>
        <v>7.2588711197737632E-2</v>
      </c>
      <c r="E24" s="53">
        <v>2.758871119773763E-2</v>
      </c>
      <c r="F24" s="53">
        <v>0.1</v>
      </c>
      <c r="G24" s="3" t="s">
        <v>40</v>
      </c>
      <c r="K24" s="58"/>
    </row>
    <row r="25" spans="1:11">
      <c r="A25" s="3" t="s">
        <v>69</v>
      </c>
      <c r="B25" s="3">
        <v>12.87311480001652</v>
      </c>
      <c r="C25" s="53">
        <v>9.1749082568807344E-2</v>
      </c>
      <c r="D25" s="53">
        <f t="shared" si="0"/>
        <v>0.17442351282468094</v>
      </c>
      <c r="E25" s="53">
        <v>0.12942351282468095</v>
      </c>
      <c r="F25" s="53">
        <v>0.28000000000000003</v>
      </c>
      <c r="G25" s="3" t="s">
        <v>44</v>
      </c>
      <c r="K25" s="58"/>
    </row>
    <row r="26" spans="1:11">
      <c r="A26" s="3" t="s">
        <v>70</v>
      </c>
      <c r="B26" s="3">
        <v>22.158209502639128</v>
      </c>
      <c r="C26" s="53">
        <v>6.7301834862385335E-2</v>
      </c>
      <c r="D26" s="53">
        <f t="shared" si="0"/>
        <v>0.13993762382750893</v>
      </c>
      <c r="E26" s="53">
        <v>9.4937623827508935E-2</v>
      </c>
      <c r="F26" s="53">
        <v>0.2</v>
      </c>
      <c r="G26" s="3" t="s">
        <v>57</v>
      </c>
      <c r="K26" s="58"/>
    </row>
    <row r="27" spans="1:11">
      <c r="A27" s="3" t="s">
        <v>71</v>
      </c>
      <c r="B27" s="3">
        <v>34.798596482427428</v>
      </c>
      <c r="C27" s="53">
        <v>6.7301834862385335E-2</v>
      </c>
      <c r="D27" s="53">
        <f t="shared" si="0"/>
        <v>0.13993762382750893</v>
      </c>
      <c r="E27" s="53">
        <v>9.4937623827508935E-2</v>
      </c>
      <c r="F27" s="53">
        <v>0.33</v>
      </c>
      <c r="G27" s="3" t="s">
        <v>44</v>
      </c>
      <c r="K27" s="58"/>
    </row>
    <row r="28" spans="1:11">
      <c r="A28" s="3" t="s">
        <v>72</v>
      </c>
      <c r="B28" s="3">
        <v>1653.042795255044</v>
      </c>
      <c r="C28" s="53">
        <v>0</v>
      </c>
      <c r="D28" s="53">
        <f t="shared" si="0"/>
        <v>4.4999999999999998E-2</v>
      </c>
      <c r="E28" s="53">
        <v>0</v>
      </c>
      <c r="F28" s="53">
        <v>0.25</v>
      </c>
      <c r="G28" s="3" t="s">
        <v>73</v>
      </c>
      <c r="K28" s="58"/>
    </row>
    <row r="29" spans="1:11">
      <c r="A29" s="3" t="s">
        <v>74</v>
      </c>
      <c r="B29" s="3">
        <v>3.2</v>
      </c>
      <c r="C29" s="53">
        <v>7.9525458715596339E-2</v>
      </c>
      <c r="D29" s="53">
        <f t="shared" si="0"/>
        <v>0.15718056832609495</v>
      </c>
      <c r="E29" s="53">
        <v>0.11218056832609494</v>
      </c>
      <c r="F29" s="53"/>
      <c r="G29" s="3" t="s">
        <v>44</v>
      </c>
      <c r="K29" s="58"/>
    </row>
    <row r="30" spans="1:11">
      <c r="A30" s="3" t="s">
        <v>75</v>
      </c>
      <c r="B30" s="3">
        <v>1.9</v>
      </c>
      <c r="C30" s="53">
        <v>7.3341743119266058E-3</v>
      </c>
      <c r="D30" s="53">
        <f t="shared" si="0"/>
        <v>5.5345766699151609E-2</v>
      </c>
      <c r="E30" s="53">
        <v>1.0345766699151613E-2</v>
      </c>
      <c r="F30" s="53">
        <v>0</v>
      </c>
      <c r="G30" s="3" t="s">
        <v>49</v>
      </c>
      <c r="K30" s="58"/>
    </row>
    <row r="31" spans="1:11">
      <c r="A31" s="3" t="s">
        <v>76</v>
      </c>
      <c r="B31" s="3">
        <v>277.07594440194083</v>
      </c>
      <c r="C31" s="53">
        <v>1.0354128440366973E-2</v>
      </c>
      <c r="D31" s="53">
        <f t="shared" si="0"/>
        <v>5.9605788281155217E-2</v>
      </c>
      <c r="E31" s="53">
        <v>1.4605788281155217E-2</v>
      </c>
      <c r="F31" s="53">
        <v>0.27</v>
      </c>
      <c r="G31" s="3" t="s">
        <v>46</v>
      </c>
      <c r="K31" s="58"/>
    </row>
    <row r="32" spans="1:11">
      <c r="A32" s="3" t="s">
        <v>77</v>
      </c>
      <c r="B32" s="3">
        <v>12237.700479375037</v>
      </c>
      <c r="C32" s="53">
        <v>8.6284403669724778E-3</v>
      </c>
      <c r="D32" s="53">
        <f t="shared" si="0"/>
        <v>5.7171490234296012E-2</v>
      </c>
      <c r="E32" s="53">
        <v>1.2171490234296015E-2</v>
      </c>
      <c r="F32" s="53">
        <v>0.25</v>
      </c>
      <c r="G32" s="3" t="s">
        <v>57</v>
      </c>
      <c r="K32" s="58"/>
    </row>
    <row r="33" spans="1:11">
      <c r="A33" s="3" t="s">
        <v>78</v>
      </c>
      <c r="B33" s="3">
        <v>309.19138283336514</v>
      </c>
      <c r="C33" s="53">
        <v>2.3296788990825688E-2</v>
      </c>
      <c r="D33" s="53">
        <f t="shared" si="0"/>
        <v>7.7863023632599226E-2</v>
      </c>
      <c r="E33" s="53">
        <v>3.2863023632599235E-2</v>
      </c>
      <c r="F33" s="53">
        <v>0.35</v>
      </c>
      <c r="G33" s="3" t="s">
        <v>46</v>
      </c>
      <c r="K33" s="58"/>
    </row>
    <row r="34" spans="1:11">
      <c r="A34" s="3" t="s">
        <v>79</v>
      </c>
      <c r="B34" s="3">
        <v>37.24</v>
      </c>
      <c r="C34" s="53">
        <v>7.9525458715596339E-2</v>
      </c>
      <c r="D34" s="53">
        <f t="shared" si="0"/>
        <v>0.15718056832609495</v>
      </c>
      <c r="E34" s="53">
        <v>0.11218056832609494</v>
      </c>
      <c r="F34" s="53">
        <v>0.28000000000000003</v>
      </c>
      <c r="G34" s="3" t="s">
        <v>44</v>
      </c>
      <c r="K34" s="58"/>
    </row>
    <row r="35" spans="1:11">
      <c r="A35" s="3" t="s">
        <v>80</v>
      </c>
      <c r="B35" s="3">
        <v>8.7200000000000006</v>
      </c>
      <c r="C35" s="53">
        <v>0.11015642201834862</v>
      </c>
      <c r="D35" s="53">
        <f t="shared" si="0"/>
        <v>0.2003893586578458</v>
      </c>
      <c r="E35" s="53">
        <v>0.15538935865784578</v>
      </c>
      <c r="F35" s="53">
        <v>0.3</v>
      </c>
      <c r="G35" s="3" t="s">
        <v>44</v>
      </c>
      <c r="K35" s="58"/>
    </row>
    <row r="36" spans="1:11">
      <c r="A36" s="3" t="s">
        <v>81</v>
      </c>
      <c r="B36" s="3">
        <v>1.2</v>
      </c>
      <c r="C36" s="53">
        <v>5.5078211009174309E-2</v>
      </c>
      <c r="D36" s="53">
        <f t="shared" si="0"/>
        <v>0.12269467932892289</v>
      </c>
      <c r="E36" s="53">
        <v>7.7694679328922892E-2</v>
      </c>
      <c r="F36" s="53"/>
      <c r="G36" s="3" t="s">
        <v>51</v>
      </c>
      <c r="K36" s="58"/>
    </row>
    <row r="37" spans="1:11">
      <c r="A37" s="3" t="s">
        <v>82</v>
      </c>
      <c r="B37" s="3">
        <v>57.057372468038302</v>
      </c>
      <c r="C37" s="53">
        <v>6.7301834862385335E-2</v>
      </c>
      <c r="D37" s="53">
        <f t="shared" si="0"/>
        <v>0.13993762382750893</v>
      </c>
      <c r="E37" s="53">
        <v>9.4937623827508935E-2</v>
      </c>
      <c r="F37" s="53">
        <v>0.3</v>
      </c>
      <c r="G37" s="3" t="s">
        <v>46</v>
      </c>
      <c r="K37" s="58"/>
    </row>
    <row r="38" spans="1:11">
      <c r="A38" s="3" t="s">
        <v>83</v>
      </c>
      <c r="B38" s="3">
        <v>40.388624117110865</v>
      </c>
      <c r="C38" s="53">
        <v>4.4005045871559637E-2</v>
      </c>
      <c r="D38" s="53">
        <f t="shared" si="0"/>
        <v>0.10707460019490968</v>
      </c>
      <c r="E38" s="53">
        <v>6.2074600194909679E-2</v>
      </c>
      <c r="F38" s="53"/>
      <c r="G38" s="3" t="s">
        <v>44</v>
      </c>
      <c r="K38" s="58"/>
    </row>
    <row r="39" spans="1:11">
      <c r="A39" s="3" t="s">
        <v>84</v>
      </c>
      <c r="B39" s="3">
        <v>54.849180228871646</v>
      </c>
      <c r="C39" s="53">
        <v>2.3296788990825688E-2</v>
      </c>
      <c r="D39" s="53">
        <f t="shared" si="0"/>
        <v>7.7863023632599226E-2</v>
      </c>
      <c r="E39" s="53">
        <v>3.2863023632599235E-2</v>
      </c>
      <c r="F39" s="53">
        <v>0.18</v>
      </c>
      <c r="G39" s="3" t="s">
        <v>40</v>
      </c>
      <c r="K39" s="58"/>
    </row>
    <row r="40" spans="1:11">
      <c r="A40" s="3" t="s">
        <v>85</v>
      </c>
      <c r="B40" s="3">
        <v>81.599999999999994</v>
      </c>
      <c r="C40" s="53">
        <v>0.14682729357798166</v>
      </c>
      <c r="D40" s="53">
        <f t="shared" si="0"/>
        <v>0.25211819215360387</v>
      </c>
      <c r="E40" s="53">
        <v>0.20711819215360386</v>
      </c>
      <c r="F40" s="53"/>
      <c r="G40" s="3" t="s">
        <v>49</v>
      </c>
      <c r="K40" s="58"/>
    </row>
    <row r="41" spans="1:11">
      <c r="A41" s="3" t="s">
        <v>86</v>
      </c>
      <c r="B41" s="3">
        <v>1</v>
      </c>
      <c r="C41" s="53">
        <v>2.3296788990825688E-2</v>
      </c>
      <c r="D41" s="53">
        <f t="shared" si="0"/>
        <v>7.7863023632599226E-2</v>
      </c>
      <c r="E41" s="53">
        <v>3.2863023632599235E-2</v>
      </c>
      <c r="F41" s="53">
        <v>0.22</v>
      </c>
      <c r="G41" s="3" t="s">
        <v>49</v>
      </c>
      <c r="K41" s="58"/>
    </row>
    <row r="42" spans="1:11">
      <c r="A42" s="3" t="s">
        <v>87</v>
      </c>
      <c r="B42" s="3">
        <v>21.651791751183232</v>
      </c>
      <c r="C42" s="53">
        <v>3.0630963302752296E-2</v>
      </c>
      <c r="D42" s="53">
        <f t="shared" si="0"/>
        <v>8.8208790331750858E-2</v>
      </c>
      <c r="E42" s="53">
        <v>4.3208790331750853E-2</v>
      </c>
      <c r="F42" s="53">
        <v>0.125</v>
      </c>
      <c r="G42" s="3" t="s">
        <v>42</v>
      </c>
      <c r="K42" s="58"/>
    </row>
    <row r="43" spans="1:11">
      <c r="A43" s="3" t="s">
        <v>88</v>
      </c>
      <c r="B43" s="3">
        <v>215.72553437237121</v>
      </c>
      <c r="C43" s="53">
        <v>7.3341743119266058E-3</v>
      </c>
      <c r="D43" s="53">
        <f t="shared" si="0"/>
        <v>5.5345766699151609E-2</v>
      </c>
      <c r="E43" s="53">
        <v>1.0345766699151613E-2</v>
      </c>
      <c r="F43" s="53">
        <v>0.19</v>
      </c>
      <c r="G43" s="3" t="s">
        <v>40</v>
      </c>
      <c r="K43" s="58"/>
    </row>
    <row r="44" spans="1:11">
      <c r="A44" s="3" t="s">
        <v>90</v>
      </c>
      <c r="B44" s="3">
        <v>324.8719688074687</v>
      </c>
      <c r="C44" s="53">
        <v>0</v>
      </c>
      <c r="D44" s="53">
        <f t="shared" si="0"/>
        <v>4.4999999999999998E-2</v>
      </c>
      <c r="E44" s="53">
        <v>0</v>
      </c>
      <c r="F44" s="53">
        <v>0.22</v>
      </c>
      <c r="G44" s="3" t="s">
        <v>42</v>
      </c>
      <c r="K44" s="58"/>
    </row>
    <row r="45" spans="1:11">
      <c r="A45" s="3" t="s">
        <v>91</v>
      </c>
      <c r="B45" s="3">
        <v>75.931656814656961</v>
      </c>
      <c r="C45" s="53">
        <v>4.4005045871559637E-2</v>
      </c>
      <c r="D45" s="53">
        <f t="shared" si="0"/>
        <v>0.10707460019490968</v>
      </c>
      <c r="E45" s="53">
        <v>6.2074600194909679E-2</v>
      </c>
      <c r="F45" s="53">
        <v>0.27</v>
      </c>
      <c r="G45" s="3" t="s">
        <v>49</v>
      </c>
      <c r="K45" s="58"/>
    </row>
    <row r="46" spans="1:11">
      <c r="A46" s="3" t="s">
        <v>92</v>
      </c>
      <c r="B46" s="3">
        <v>103.056619</v>
      </c>
      <c r="C46" s="53">
        <v>0.12238004587155965</v>
      </c>
      <c r="D46" s="53">
        <f t="shared" si="0"/>
        <v>0.21763230315643184</v>
      </c>
      <c r="E46" s="53">
        <v>0.17263230315643183</v>
      </c>
      <c r="F46" s="53">
        <v>0.25</v>
      </c>
      <c r="G46" s="3" t="s">
        <v>46</v>
      </c>
      <c r="K46" s="58"/>
    </row>
    <row r="47" spans="1:11">
      <c r="A47" s="3" t="s">
        <v>93</v>
      </c>
      <c r="B47" s="3">
        <v>235.37</v>
      </c>
      <c r="C47" s="53">
        <v>6.7301834862385335E-2</v>
      </c>
      <c r="D47" s="53">
        <f t="shared" si="0"/>
        <v>0.13993762382750893</v>
      </c>
      <c r="E47" s="53">
        <v>9.4937623827508935E-2</v>
      </c>
      <c r="F47" s="53">
        <v>0.22500000000000001</v>
      </c>
      <c r="G47" s="3" t="s">
        <v>44</v>
      </c>
      <c r="K47" s="58"/>
    </row>
    <row r="48" spans="1:11">
      <c r="A48" s="3" t="s">
        <v>94</v>
      </c>
      <c r="B48" s="3">
        <v>24.805439600000003</v>
      </c>
      <c r="C48" s="53">
        <v>0.12238004587155965</v>
      </c>
      <c r="D48" s="53">
        <f t="shared" si="0"/>
        <v>0.21763230315643184</v>
      </c>
      <c r="E48" s="53">
        <v>0.17263230315643183</v>
      </c>
      <c r="F48" s="53">
        <v>0.3</v>
      </c>
      <c r="G48" s="3" t="s">
        <v>46</v>
      </c>
      <c r="K48" s="58"/>
    </row>
    <row r="49" spans="1:11">
      <c r="A49" s="3" t="s">
        <v>95</v>
      </c>
      <c r="B49" s="3">
        <v>25.92107961233366</v>
      </c>
      <c r="C49" s="53">
        <v>8.6284403669724778E-3</v>
      </c>
      <c r="D49" s="53">
        <f t="shared" si="0"/>
        <v>5.7171490234296012E-2</v>
      </c>
      <c r="E49" s="53">
        <v>1.2171490234296015E-2</v>
      </c>
      <c r="F49" s="53">
        <v>0.2</v>
      </c>
      <c r="G49" s="3" t="s">
        <v>40</v>
      </c>
      <c r="K49" s="58"/>
    </row>
    <row r="50" spans="1:11">
      <c r="A50" s="3" t="s">
        <v>96</v>
      </c>
      <c r="B50" s="3">
        <v>80.561496133917188</v>
      </c>
      <c r="C50" s="53">
        <v>0.11015642201834862</v>
      </c>
      <c r="D50" s="53">
        <f t="shared" si="0"/>
        <v>0.2003893586578458</v>
      </c>
      <c r="E50" s="53">
        <v>0.15538935865784578</v>
      </c>
      <c r="F50" s="53">
        <v>0.3</v>
      </c>
      <c r="G50" s="3" t="s">
        <v>44</v>
      </c>
      <c r="K50" s="58"/>
    </row>
    <row r="51" spans="1:11">
      <c r="A51" s="3" t="s">
        <v>97</v>
      </c>
      <c r="B51" s="3">
        <v>5.0612027674294833</v>
      </c>
      <c r="C51" s="53">
        <v>5.5078211009174309E-2</v>
      </c>
      <c r="D51" s="53">
        <f t="shared" si="0"/>
        <v>0.12269467932892289</v>
      </c>
      <c r="E51" s="53">
        <v>7.7694679328922892E-2</v>
      </c>
      <c r="F51" s="53">
        <v>0.2</v>
      </c>
      <c r="G51" s="3" t="s">
        <v>57</v>
      </c>
      <c r="K51" s="58"/>
    </row>
    <row r="52" spans="1:11">
      <c r="A52" s="3" t="s">
        <v>98</v>
      </c>
      <c r="B52" s="3">
        <v>251.88488797276599</v>
      </c>
      <c r="C52" s="53">
        <v>4.8894495412844033E-3</v>
      </c>
      <c r="D52" s="53">
        <f t="shared" si="0"/>
        <v>5.1897177799434403E-2</v>
      </c>
      <c r="E52" s="53">
        <v>6.8971777994344076E-3</v>
      </c>
      <c r="F52" s="53">
        <v>0.2</v>
      </c>
      <c r="G52" s="3" t="s">
        <v>42</v>
      </c>
      <c r="K52" s="58"/>
    </row>
    <row r="53" spans="1:11">
      <c r="A53" s="3" t="s">
        <v>99</v>
      </c>
      <c r="B53" s="3">
        <v>2582.5013072164156</v>
      </c>
      <c r="C53" s="53">
        <v>6.0399082568807346E-3</v>
      </c>
      <c r="D53" s="53">
        <f t="shared" si="0"/>
        <v>5.3520043164007207E-2</v>
      </c>
      <c r="E53" s="53">
        <v>8.5200431640072103E-3</v>
      </c>
      <c r="F53" s="53">
        <v>0.25</v>
      </c>
      <c r="G53" s="3" t="s">
        <v>42</v>
      </c>
      <c r="K53" s="58"/>
    </row>
    <row r="54" spans="1:11">
      <c r="A54" s="3" t="s">
        <v>100</v>
      </c>
      <c r="B54" s="3">
        <v>14.622880885684218</v>
      </c>
      <c r="C54" s="53">
        <v>9.1749082568807344E-2</v>
      </c>
      <c r="D54" s="53">
        <f t="shared" si="0"/>
        <v>0.17442351282468094</v>
      </c>
      <c r="E54" s="53">
        <v>0.12942351282468095</v>
      </c>
      <c r="F54" s="53">
        <v>0.3</v>
      </c>
      <c r="G54" s="3" t="s">
        <v>44</v>
      </c>
      <c r="K54" s="58"/>
    </row>
    <row r="55" spans="1:11">
      <c r="A55" s="3" t="s">
        <v>101</v>
      </c>
      <c r="B55" s="3">
        <v>15.159281211396696</v>
      </c>
      <c r="C55" s="53">
        <v>3.6814678899082569E-2</v>
      </c>
      <c r="D55" s="53">
        <f t="shared" si="0"/>
        <v>9.6931691666329658E-2</v>
      </c>
      <c r="E55" s="53">
        <v>5.193169166632966E-2</v>
      </c>
      <c r="F55" s="53">
        <v>0.15</v>
      </c>
      <c r="G55" s="3" t="s">
        <v>40</v>
      </c>
      <c r="K55" s="58"/>
    </row>
    <row r="56" spans="1:11">
      <c r="A56" s="3" t="s">
        <v>102</v>
      </c>
      <c r="B56" s="3">
        <v>3677.4391297766028</v>
      </c>
      <c r="C56" s="53">
        <v>0</v>
      </c>
      <c r="D56" s="53">
        <f t="shared" si="0"/>
        <v>4.4999999999999998E-2</v>
      </c>
      <c r="E56" s="53">
        <v>0</v>
      </c>
      <c r="F56" s="53">
        <v>0.3</v>
      </c>
      <c r="G56" s="3" t="s">
        <v>42</v>
      </c>
      <c r="K56" s="58"/>
    </row>
    <row r="57" spans="1:11">
      <c r="A57" s="3" t="s">
        <v>103</v>
      </c>
      <c r="B57" s="3">
        <v>47.330016342573444</v>
      </c>
      <c r="C57" s="53">
        <v>0.14682729357798166</v>
      </c>
      <c r="D57" s="53">
        <f t="shared" si="0"/>
        <v>0.25211819215360387</v>
      </c>
      <c r="E57" s="53">
        <v>0.20711819215360386</v>
      </c>
      <c r="F57" s="53">
        <v>0.25</v>
      </c>
      <c r="G57" s="3" t="s">
        <v>44</v>
      </c>
      <c r="K57" s="58"/>
    </row>
    <row r="58" spans="1:11">
      <c r="A58" s="3" t="s">
        <v>104</v>
      </c>
      <c r="B58" s="3">
        <v>200.28827712903825</v>
      </c>
      <c r="C58" s="53">
        <v>4.4005045871559637E-2</v>
      </c>
      <c r="D58" s="53">
        <f t="shared" si="0"/>
        <v>0.10707460019490968</v>
      </c>
      <c r="E58" s="53">
        <v>6.2074600194909679E-2</v>
      </c>
      <c r="F58" s="53">
        <v>0.22</v>
      </c>
      <c r="G58" s="3" t="s">
        <v>42</v>
      </c>
      <c r="K58" s="58"/>
    </row>
    <row r="59" spans="1:11">
      <c r="A59" s="3" t="s">
        <v>105</v>
      </c>
      <c r="B59" s="3">
        <v>75.620095537500504</v>
      </c>
      <c r="C59" s="53">
        <v>3.0630963302752296E-2</v>
      </c>
      <c r="D59" s="53">
        <f t="shared" si="0"/>
        <v>8.8208790331750858E-2</v>
      </c>
      <c r="E59" s="53">
        <v>4.3208790331750853E-2</v>
      </c>
      <c r="F59" s="53">
        <v>0.25</v>
      </c>
      <c r="G59" s="3" t="s">
        <v>46</v>
      </c>
      <c r="K59" s="58"/>
    </row>
    <row r="60" spans="1:11">
      <c r="A60" s="3" t="s">
        <v>106</v>
      </c>
      <c r="B60" s="3">
        <v>0.5</v>
      </c>
      <c r="C60" s="53">
        <v>0</v>
      </c>
      <c r="D60" s="53">
        <f t="shared" si="0"/>
        <v>4.4999999999999998E-2</v>
      </c>
      <c r="E60" s="53">
        <v>0</v>
      </c>
      <c r="F60" s="53">
        <v>0</v>
      </c>
      <c r="G60" s="3" t="s">
        <v>42</v>
      </c>
      <c r="K60" s="58"/>
    </row>
    <row r="61" spans="1:11">
      <c r="A61" s="3" t="s">
        <v>107</v>
      </c>
      <c r="B61" s="3">
        <v>22.97853289678163</v>
      </c>
      <c r="C61" s="53">
        <v>5.5078211009174309E-2</v>
      </c>
      <c r="D61" s="53">
        <f t="shared" si="0"/>
        <v>0.12269467932892289</v>
      </c>
      <c r="E61" s="53">
        <v>7.7694679328922892E-2</v>
      </c>
      <c r="F61" s="53">
        <v>0.25</v>
      </c>
      <c r="G61" s="3" t="s">
        <v>46</v>
      </c>
      <c r="K61" s="58"/>
    </row>
    <row r="62" spans="1:11">
      <c r="A62" s="3" t="s">
        <v>108</v>
      </c>
      <c r="B62" s="3">
        <v>341.45</v>
      </c>
      <c r="C62" s="53">
        <v>7.3341743119266058E-3</v>
      </c>
      <c r="D62" s="53">
        <f t="shared" si="0"/>
        <v>5.5345766699151609E-2</v>
      </c>
      <c r="E62" s="53">
        <v>1.0345766699151613E-2</v>
      </c>
      <c r="F62" s="53">
        <v>0.16500000000000001</v>
      </c>
      <c r="G62" s="3" t="s">
        <v>57</v>
      </c>
      <c r="K62" s="58"/>
    </row>
    <row r="63" spans="1:11">
      <c r="A63" s="3" t="s">
        <v>109</v>
      </c>
      <c r="B63" s="3">
        <v>139.13502975828999</v>
      </c>
      <c r="C63" s="53">
        <v>2.3296788990825688E-2</v>
      </c>
      <c r="D63" s="53">
        <f t="shared" si="0"/>
        <v>7.7863023632599226E-2</v>
      </c>
      <c r="E63" s="53">
        <v>3.2863023632599235E-2</v>
      </c>
      <c r="F63" s="53">
        <v>0.09</v>
      </c>
      <c r="G63" s="3" t="s">
        <v>40</v>
      </c>
      <c r="K63" s="58"/>
    </row>
    <row r="64" spans="1:11">
      <c r="A64" s="3" t="s">
        <v>110</v>
      </c>
      <c r="B64" s="3">
        <v>23.909289978586099</v>
      </c>
      <c r="C64" s="53">
        <v>1.0354128440366973E-2</v>
      </c>
      <c r="D64" s="53">
        <f t="shared" si="0"/>
        <v>5.9605788281155217E-2</v>
      </c>
      <c r="E64" s="53">
        <v>1.4605788281155217E-2</v>
      </c>
      <c r="F64" s="53">
        <v>0.2</v>
      </c>
      <c r="G64" s="3" t="s">
        <v>42</v>
      </c>
      <c r="K64" s="58"/>
    </row>
    <row r="65" spans="1:11">
      <c r="A65" s="3" t="s">
        <v>111</v>
      </c>
      <c r="B65" s="3">
        <v>2597.4911628976711</v>
      </c>
      <c r="C65" s="53">
        <v>2.6891972477064225E-2</v>
      </c>
      <c r="D65" s="53">
        <f t="shared" si="0"/>
        <v>8.293447789688925E-2</v>
      </c>
      <c r="E65" s="53">
        <v>3.7934477896889252E-2</v>
      </c>
      <c r="F65" s="53">
        <v>0.3</v>
      </c>
      <c r="G65" s="3" t="s">
        <v>57</v>
      </c>
      <c r="K65" s="58"/>
    </row>
    <row r="66" spans="1:11">
      <c r="A66" s="3" t="s">
        <v>112</v>
      </c>
      <c r="B66" s="3">
        <v>1015.5390175365033</v>
      </c>
      <c r="C66" s="53">
        <v>2.3296788990825688E-2</v>
      </c>
      <c r="D66" s="53">
        <f t="shared" si="0"/>
        <v>7.7863023632599226E-2</v>
      </c>
      <c r="E66" s="53">
        <v>3.2863023632599235E-2</v>
      </c>
      <c r="F66" s="53">
        <v>0.22</v>
      </c>
      <c r="G66" s="3" t="s">
        <v>57</v>
      </c>
      <c r="K66" s="58"/>
    </row>
    <row r="67" spans="1:11">
      <c r="A67" s="3" t="s">
        <v>113</v>
      </c>
      <c r="B67" s="3">
        <v>197.71573604060913</v>
      </c>
      <c r="C67" s="53">
        <v>9.1749082568807344E-2</v>
      </c>
      <c r="D67" s="53">
        <f t="shared" si="0"/>
        <v>0.17442351282468094</v>
      </c>
      <c r="E67" s="53">
        <v>0.12942351282468095</v>
      </c>
      <c r="F67" s="53">
        <v>0.15</v>
      </c>
      <c r="G67" s="3" t="s">
        <v>38</v>
      </c>
      <c r="K67" s="58"/>
    </row>
    <row r="68" spans="1:11">
      <c r="A68" s="3" t="s">
        <v>114</v>
      </c>
      <c r="B68" s="3">
        <v>333.73076477318006</v>
      </c>
      <c r="C68" s="53">
        <v>8.6284403669724778E-3</v>
      </c>
      <c r="D68" s="53">
        <f t="shared" ref="D68:D131" si="1">$D$148+E68</f>
        <v>5.7171490234296012E-2</v>
      </c>
      <c r="E68" s="53">
        <v>1.2171490234296015E-2</v>
      </c>
      <c r="F68" s="53">
        <v>0.125</v>
      </c>
      <c r="G68" s="3" t="s">
        <v>42</v>
      </c>
      <c r="K68" s="58"/>
    </row>
    <row r="69" spans="1:11">
      <c r="A69" s="3" t="s">
        <v>115</v>
      </c>
      <c r="B69" s="3">
        <v>7.4</v>
      </c>
      <c r="C69" s="53">
        <v>7.3341743119266058E-3</v>
      </c>
      <c r="D69" s="53">
        <f t="shared" si="1"/>
        <v>5.5345766699151609E-2</v>
      </c>
      <c r="E69" s="53">
        <v>1.0345766699151613E-2</v>
      </c>
      <c r="F69" s="53">
        <v>0</v>
      </c>
      <c r="G69" s="3" t="s">
        <v>42</v>
      </c>
      <c r="K69" s="58"/>
    </row>
    <row r="70" spans="1:11">
      <c r="A70" s="3" t="s">
        <v>116</v>
      </c>
      <c r="B70" s="3">
        <v>350.85053782728062</v>
      </c>
      <c r="C70" s="53">
        <v>8.6284403669724778E-3</v>
      </c>
      <c r="D70" s="53">
        <f t="shared" si="1"/>
        <v>5.7171490234296012E-2</v>
      </c>
      <c r="E70" s="53">
        <v>1.2171490234296015E-2</v>
      </c>
      <c r="F70" s="53">
        <v>0.23</v>
      </c>
      <c r="G70" s="3" t="s">
        <v>38</v>
      </c>
      <c r="K70" s="58"/>
    </row>
    <row r="71" spans="1:11">
      <c r="A71" s="3" t="s">
        <v>117</v>
      </c>
      <c r="B71" s="3">
        <v>1934.7979374113268</v>
      </c>
      <c r="C71" s="53">
        <v>2.6891972477064225E-2</v>
      </c>
      <c r="D71" s="53">
        <f t="shared" si="1"/>
        <v>8.293447789688925E-2</v>
      </c>
      <c r="E71" s="53">
        <v>3.7934477896889252E-2</v>
      </c>
      <c r="F71" s="53">
        <v>0.24</v>
      </c>
      <c r="G71" s="3" t="s">
        <v>42</v>
      </c>
      <c r="K71" s="58"/>
    </row>
    <row r="72" spans="1:11">
      <c r="A72" s="3" t="s">
        <v>118</v>
      </c>
      <c r="B72" s="3">
        <v>14.768134912417116</v>
      </c>
      <c r="C72" s="53">
        <v>6.7301834862385335E-2</v>
      </c>
      <c r="D72" s="53">
        <f t="shared" si="1"/>
        <v>0.13993762382750893</v>
      </c>
      <c r="E72" s="53">
        <v>9.4937623827508935E-2</v>
      </c>
      <c r="F72" s="53">
        <v>0.25</v>
      </c>
      <c r="G72" s="3" t="s">
        <v>49</v>
      </c>
      <c r="K72" s="58"/>
    </row>
    <row r="73" spans="1:11">
      <c r="A73" s="3" t="s">
        <v>119</v>
      </c>
      <c r="B73" s="3">
        <v>4872.1369455075865</v>
      </c>
      <c r="C73" s="53">
        <v>8.6284403669724778E-3</v>
      </c>
      <c r="D73" s="53">
        <f t="shared" si="1"/>
        <v>5.7171490234296012E-2</v>
      </c>
      <c r="E73" s="53">
        <v>1.2171490234296015E-2</v>
      </c>
      <c r="F73" s="53">
        <v>0.23200000000000001</v>
      </c>
      <c r="G73" s="3" t="s">
        <v>57</v>
      </c>
      <c r="K73" s="58"/>
    </row>
    <row r="74" spans="1:11">
      <c r="A74" s="3" t="s">
        <v>120</v>
      </c>
      <c r="B74" s="3">
        <v>1</v>
      </c>
      <c r="C74" s="53">
        <v>0</v>
      </c>
      <c r="D74" s="53">
        <f t="shared" si="1"/>
        <v>4.4999999999999998E-2</v>
      </c>
      <c r="E74" s="53">
        <v>0</v>
      </c>
      <c r="F74" s="53">
        <v>0</v>
      </c>
      <c r="G74" s="3" t="s">
        <v>42</v>
      </c>
      <c r="K74" s="58"/>
    </row>
    <row r="75" spans="1:11">
      <c r="A75" s="3" t="s">
        <v>121</v>
      </c>
      <c r="B75" s="3">
        <v>40.068308516275501</v>
      </c>
      <c r="C75" s="53">
        <v>5.5078211009174309E-2</v>
      </c>
      <c r="D75" s="53">
        <f t="shared" si="1"/>
        <v>0.12269467932892289</v>
      </c>
      <c r="E75" s="53">
        <v>7.7694679328922892E-2</v>
      </c>
      <c r="F75" s="53">
        <v>0.2</v>
      </c>
      <c r="G75" s="3" t="s">
        <v>38</v>
      </c>
      <c r="K75" s="58"/>
    </row>
    <row r="76" spans="1:11">
      <c r="A76" s="3" t="s">
        <v>122</v>
      </c>
      <c r="B76" s="3">
        <v>159.4069263591216</v>
      </c>
      <c r="C76" s="53">
        <v>2.3296788990825688E-2</v>
      </c>
      <c r="D76" s="53">
        <f t="shared" si="1"/>
        <v>7.7863023632599226E-2</v>
      </c>
      <c r="E76" s="53">
        <v>3.2863023632599235E-2</v>
      </c>
      <c r="F76" s="53">
        <v>0.2</v>
      </c>
      <c r="G76" s="3" t="s">
        <v>40</v>
      </c>
      <c r="K76" s="58"/>
    </row>
    <row r="77" spans="1:11">
      <c r="A77" s="3" t="s">
        <v>123</v>
      </c>
      <c r="B77" s="3">
        <v>74.938190654855816</v>
      </c>
      <c r="C77" s="53">
        <v>6.7301834862385335E-2</v>
      </c>
      <c r="D77" s="53">
        <f t="shared" si="1"/>
        <v>0.13993762382750893</v>
      </c>
      <c r="E77" s="53">
        <v>9.4937623827508935E-2</v>
      </c>
      <c r="F77" s="53">
        <v>0.3</v>
      </c>
      <c r="G77" s="3" t="s">
        <v>44</v>
      </c>
      <c r="K77" s="58"/>
    </row>
    <row r="78" spans="1:11">
      <c r="A78" s="3" t="s">
        <v>124</v>
      </c>
      <c r="B78" s="3">
        <v>1530.75</v>
      </c>
      <c r="C78" s="53">
        <v>6.0399082568807346E-3</v>
      </c>
      <c r="D78" s="53">
        <f t="shared" si="1"/>
        <v>5.3520043164007207E-2</v>
      </c>
      <c r="E78" s="53">
        <v>8.5200431640072103E-3</v>
      </c>
      <c r="F78" s="53">
        <v>0.25</v>
      </c>
      <c r="G78" s="3" t="s">
        <v>57</v>
      </c>
      <c r="K78" s="58"/>
    </row>
    <row r="79" spans="1:11">
      <c r="A79" s="3" t="s">
        <v>125</v>
      </c>
      <c r="B79" s="3">
        <v>120.12627761292451</v>
      </c>
      <c r="C79" s="53">
        <v>8.6284403669724778E-3</v>
      </c>
      <c r="D79" s="53">
        <f t="shared" si="1"/>
        <v>5.7171490234296012E-2</v>
      </c>
      <c r="E79" s="53">
        <v>1.2171490234296015E-2</v>
      </c>
      <c r="F79" s="53">
        <v>0.15</v>
      </c>
      <c r="G79" s="3" t="s">
        <v>38</v>
      </c>
      <c r="K79" s="58"/>
    </row>
    <row r="80" spans="1:11">
      <c r="A80" s="3" t="s">
        <v>126</v>
      </c>
      <c r="B80" s="3">
        <v>7.5647388360412213</v>
      </c>
      <c r="C80" s="53">
        <v>7.9525458715596339E-2</v>
      </c>
      <c r="D80" s="53">
        <f t="shared" si="1"/>
        <v>0.15718056832609495</v>
      </c>
      <c r="E80" s="53">
        <v>0.11218056832609494</v>
      </c>
      <c r="F80" s="53">
        <v>0.1</v>
      </c>
      <c r="G80" s="3" t="s">
        <v>40</v>
      </c>
      <c r="K80" s="58"/>
    </row>
    <row r="81" spans="1:11">
      <c r="A81" s="3" t="s">
        <v>127</v>
      </c>
      <c r="B81" s="3">
        <v>30.264454641800356</v>
      </c>
      <c r="C81" s="53">
        <v>1.4668348623853212E-2</v>
      </c>
      <c r="D81" s="53">
        <f t="shared" si="1"/>
        <v>6.569153339830322E-2</v>
      </c>
      <c r="E81" s="53">
        <v>2.0691533398303225E-2</v>
      </c>
      <c r="F81" s="53">
        <v>0.2</v>
      </c>
      <c r="G81" s="3" t="s">
        <v>40</v>
      </c>
      <c r="K81" s="58"/>
    </row>
    <row r="82" spans="1:11">
      <c r="A82" s="3" t="s">
        <v>128</v>
      </c>
      <c r="B82" s="3">
        <v>51.844487742023212</v>
      </c>
      <c r="C82" s="53">
        <v>0.17499999999999999</v>
      </c>
      <c r="D82" s="53">
        <f t="shared" si="1"/>
        <v>0.29185930485826311</v>
      </c>
      <c r="E82" s="53">
        <v>0.2468593048582631</v>
      </c>
      <c r="F82" s="53">
        <v>0.17</v>
      </c>
      <c r="G82" s="3" t="s">
        <v>38</v>
      </c>
      <c r="K82" s="58"/>
    </row>
    <row r="83" spans="1:11">
      <c r="A83" s="3" t="s">
        <v>129</v>
      </c>
      <c r="B83" s="3">
        <v>6.7</v>
      </c>
      <c r="C83" s="53">
        <v>0</v>
      </c>
      <c r="D83" s="53">
        <f t="shared" si="1"/>
        <v>4.4999999999999998E-2</v>
      </c>
      <c r="E83" s="53">
        <v>0</v>
      </c>
      <c r="F83" s="53">
        <v>0.125</v>
      </c>
      <c r="G83" s="3" t="s">
        <v>42</v>
      </c>
      <c r="K83" s="58"/>
    </row>
    <row r="84" spans="1:11">
      <c r="A84" s="3" t="s">
        <v>130</v>
      </c>
      <c r="B84" s="3">
        <v>47.168303744132935</v>
      </c>
      <c r="C84" s="53">
        <v>1.0354128440366973E-2</v>
      </c>
      <c r="D84" s="53">
        <f t="shared" si="1"/>
        <v>5.9605788281155217E-2</v>
      </c>
      <c r="E84" s="53">
        <v>1.4605788281155217E-2</v>
      </c>
      <c r="F84" s="53">
        <v>0.15</v>
      </c>
      <c r="G84" s="3" t="s">
        <v>40</v>
      </c>
      <c r="K84" s="58"/>
    </row>
    <row r="85" spans="1:11">
      <c r="A85" s="3" t="s">
        <v>131</v>
      </c>
      <c r="B85" s="3">
        <v>62.404461274663575</v>
      </c>
      <c r="C85" s="53">
        <v>0</v>
      </c>
      <c r="D85" s="53">
        <f t="shared" si="1"/>
        <v>4.4999999999999998E-2</v>
      </c>
      <c r="E85" s="53">
        <v>0</v>
      </c>
      <c r="F85" s="53">
        <v>0.24940000000000001</v>
      </c>
      <c r="G85" s="3" t="s">
        <v>42</v>
      </c>
      <c r="K85" s="58"/>
    </row>
    <row r="86" spans="1:11">
      <c r="A86" s="3" t="s">
        <v>132</v>
      </c>
      <c r="B86" s="3">
        <v>62.404461274663575</v>
      </c>
      <c r="C86" s="53">
        <v>7.3341743119266058E-3</v>
      </c>
      <c r="D86" s="53">
        <f t="shared" si="1"/>
        <v>5.5345766699151609E-2</v>
      </c>
      <c r="E86" s="53">
        <v>1.0345766699151613E-2</v>
      </c>
      <c r="F86" s="53">
        <v>0.12</v>
      </c>
      <c r="G86" s="3" t="s">
        <v>57</v>
      </c>
      <c r="K86" s="58"/>
    </row>
    <row r="87" spans="1:11">
      <c r="A87" s="3" t="s">
        <v>133</v>
      </c>
      <c r="B87" s="3">
        <v>50.361201096436588</v>
      </c>
      <c r="C87" s="53">
        <v>4.4005045871559637E-2</v>
      </c>
      <c r="D87" s="53">
        <f t="shared" si="1"/>
        <v>0.10707460019490968</v>
      </c>
      <c r="E87" s="53">
        <v>6.2074600194909679E-2</v>
      </c>
      <c r="F87" s="53">
        <v>0.1</v>
      </c>
      <c r="G87" s="3" t="s">
        <v>40</v>
      </c>
      <c r="K87" s="58"/>
    </row>
    <row r="88" spans="1:11">
      <c r="A88" s="3" t="s">
        <v>134</v>
      </c>
      <c r="B88" s="3">
        <v>314.50027904380988</v>
      </c>
      <c r="C88" s="53">
        <v>1.4668348623853212E-2</v>
      </c>
      <c r="D88" s="53">
        <f t="shared" si="1"/>
        <v>6.569153339830322E-2</v>
      </c>
      <c r="E88" s="53">
        <v>2.0691533398303225E-2</v>
      </c>
      <c r="F88" s="53">
        <v>0.24</v>
      </c>
      <c r="G88" s="3" t="s">
        <v>57</v>
      </c>
      <c r="K88" s="58"/>
    </row>
    <row r="89" spans="1:11">
      <c r="A89" s="3" t="s">
        <v>607</v>
      </c>
      <c r="B89" s="3">
        <v>4.5970833035069338</v>
      </c>
      <c r="C89" s="53">
        <v>9.1749082568807344E-2</v>
      </c>
      <c r="D89" s="53">
        <f t="shared" si="1"/>
        <v>0.17442351282468094</v>
      </c>
      <c r="E89" s="53">
        <v>0.12942351282468095</v>
      </c>
      <c r="F89" s="53"/>
      <c r="G89" s="3" t="s">
        <v>57</v>
      </c>
      <c r="K89" s="58"/>
    </row>
    <row r="90" spans="1:11">
      <c r="A90" s="3" t="s">
        <v>135</v>
      </c>
      <c r="B90" s="3">
        <v>12.5377507324769</v>
      </c>
      <c r="C90" s="53">
        <v>1.0354128440366973E-2</v>
      </c>
      <c r="D90" s="53">
        <f t="shared" si="1"/>
        <v>5.9605788281155217E-2</v>
      </c>
      <c r="E90" s="53">
        <v>1.4605788281155217E-2</v>
      </c>
      <c r="F90" s="53">
        <v>0.35</v>
      </c>
      <c r="G90" s="3" t="s">
        <v>42</v>
      </c>
      <c r="K90" s="58"/>
    </row>
    <row r="91" spans="1:11">
      <c r="A91" s="3" t="s">
        <v>136</v>
      </c>
      <c r="B91" s="3">
        <v>13.338147523012408</v>
      </c>
      <c r="C91" s="53">
        <v>2.6891972477064225E-2</v>
      </c>
      <c r="D91" s="53">
        <f t="shared" si="1"/>
        <v>8.293447789688925E-2</v>
      </c>
      <c r="E91" s="53">
        <v>3.7934477896889252E-2</v>
      </c>
      <c r="F91" s="53">
        <v>0.15</v>
      </c>
      <c r="G91" s="3" t="s">
        <v>57</v>
      </c>
      <c r="K91" s="58"/>
    </row>
    <row r="92" spans="1:11">
      <c r="A92" s="3" t="s">
        <v>137</v>
      </c>
      <c r="B92" s="3">
        <v>1149.9187947657313</v>
      </c>
      <c r="C92" s="53">
        <v>2.3296788990825688E-2</v>
      </c>
      <c r="D92" s="53">
        <f t="shared" si="1"/>
        <v>7.7863023632599226E-2</v>
      </c>
      <c r="E92" s="53">
        <v>3.2863023632599235E-2</v>
      </c>
      <c r="F92" s="53">
        <v>0.3</v>
      </c>
      <c r="G92" s="3" t="s">
        <v>46</v>
      </c>
      <c r="K92" s="58"/>
    </row>
    <row r="93" spans="1:11">
      <c r="A93" s="3" t="s">
        <v>138</v>
      </c>
      <c r="B93" s="3">
        <v>8.1284934320774092</v>
      </c>
      <c r="C93" s="53">
        <v>7.9525458715596339E-2</v>
      </c>
      <c r="D93" s="53">
        <f t="shared" si="1"/>
        <v>0.15718056832609495</v>
      </c>
      <c r="E93" s="53">
        <v>0.11218056832609494</v>
      </c>
      <c r="F93" s="53">
        <v>0.12</v>
      </c>
      <c r="G93" s="3" t="s">
        <v>40</v>
      </c>
      <c r="K93" s="58"/>
    </row>
    <row r="94" spans="1:11">
      <c r="A94" s="3" t="s">
        <v>139</v>
      </c>
      <c r="B94" s="3">
        <v>11.48804688104307</v>
      </c>
      <c r="C94" s="53">
        <v>7.9525458715596339E-2</v>
      </c>
      <c r="D94" s="53">
        <f t="shared" si="1"/>
        <v>0.15718056832609495</v>
      </c>
      <c r="E94" s="53">
        <v>0.11218056832609494</v>
      </c>
      <c r="F94" s="53">
        <v>0.25</v>
      </c>
      <c r="G94" s="3" t="s">
        <v>57</v>
      </c>
      <c r="K94" s="58"/>
    </row>
    <row r="95" spans="1:11">
      <c r="A95" s="3" t="s">
        <v>140</v>
      </c>
      <c r="B95" s="3">
        <v>4.7740860942077994</v>
      </c>
      <c r="C95" s="53">
        <v>5.5078211009174309E-2</v>
      </c>
      <c r="D95" s="53">
        <f t="shared" si="1"/>
        <v>0.12269467932892289</v>
      </c>
      <c r="E95" s="53">
        <v>7.7694679328922892E-2</v>
      </c>
      <c r="F95" s="53">
        <v>0.15</v>
      </c>
      <c r="G95" s="3" t="s">
        <v>40</v>
      </c>
      <c r="K95" s="58"/>
    </row>
    <row r="96" spans="1:11">
      <c r="A96" s="3" t="s">
        <v>141</v>
      </c>
      <c r="B96" s="3">
        <v>1.5</v>
      </c>
      <c r="C96" s="53">
        <v>2.6891972477064225E-2</v>
      </c>
      <c r="D96" s="53">
        <f t="shared" si="1"/>
        <v>8.293447789688925E-2</v>
      </c>
      <c r="E96" s="53">
        <v>3.7934477896889252E-2</v>
      </c>
      <c r="F96" s="53"/>
      <c r="G96" s="3" t="s">
        <v>49</v>
      </c>
      <c r="K96" s="58"/>
    </row>
    <row r="97" spans="1:11">
      <c r="A97" s="3" t="s">
        <v>142</v>
      </c>
      <c r="B97" s="3">
        <v>109.13948400742879</v>
      </c>
      <c r="C97" s="53">
        <v>3.0630963302752296E-2</v>
      </c>
      <c r="D97" s="53">
        <f t="shared" si="1"/>
        <v>8.8208790331750858E-2</v>
      </c>
      <c r="E97" s="53">
        <v>4.3208790331750853E-2</v>
      </c>
      <c r="F97" s="53">
        <v>0.31</v>
      </c>
      <c r="G97" s="3" t="s">
        <v>44</v>
      </c>
      <c r="K97" s="58"/>
    </row>
    <row r="98" spans="1:11">
      <c r="A98" s="3" t="s">
        <v>143</v>
      </c>
      <c r="B98" s="3">
        <v>12.333859926276988</v>
      </c>
      <c r="C98" s="53">
        <v>0.11015642201834862</v>
      </c>
      <c r="D98" s="53">
        <f t="shared" si="1"/>
        <v>0.2003893586578458</v>
      </c>
      <c r="E98" s="53">
        <v>0.15538935865784578</v>
      </c>
      <c r="F98" s="53">
        <v>0.32</v>
      </c>
      <c r="G98" s="3" t="s">
        <v>44</v>
      </c>
      <c r="K98" s="58"/>
    </row>
    <row r="99" spans="1:11">
      <c r="A99" s="3" t="s">
        <v>144</v>
      </c>
      <c r="B99" s="3">
        <v>13.244597345431874</v>
      </c>
      <c r="C99" s="53">
        <v>5.5078211009174309E-2</v>
      </c>
      <c r="D99" s="53">
        <f t="shared" si="1"/>
        <v>0.12269467932892289</v>
      </c>
      <c r="E99" s="53">
        <v>7.7694679328922892E-2</v>
      </c>
      <c r="F99" s="53">
        <v>0.32</v>
      </c>
      <c r="G99" s="3" t="s">
        <v>44</v>
      </c>
      <c r="K99" s="58"/>
    </row>
    <row r="100" spans="1:11">
      <c r="A100" s="3" t="s">
        <v>145</v>
      </c>
      <c r="B100" s="3">
        <v>826.20028250112694</v>
      </c>
      <c r="C100" s="53">
        <v>0</v>
      </c>
      <c r="D100" s="53">
        <f t="shared" si="1"/>
        <v>4.4999999999999998E-2</v>
      </c>
      <c r="E100" s="53">
        <v>0</v>
      </c>
      <c r="F100" s="53">
        <v>0.25800000000000001</v>
      </c>
      <c r="G100" s="3" t="s">
        <v>42</v>
      </c>
      <c r="K100" s="58"/>
    </row>
    <row r="101" spans="1:11">
      <c r="A101" s="3" t="s">
        <v>146</v>
      </c>
      <c r="B101" s="3">
        <v>205.85283825471217</v>
      </c>
      <c r="C101" s="53">
        <v>0</v>
      </c>
      <c r="D101" s="53">
        <f t="shared" si="1"/>
        <v>4.4999999999999998E-2</v>
      </c>
      <c r="E101" s="53">
        <v>0</v>
      </c>
      <c r="F101" s="53">
        <v>0.28000000000000003</v>
      </c>
      <c r="G101" s="3" t="s">
        <v>51</v>
      </c>
      <c r="K101" s="58"/>
    </row>
    <row r="102" spans="1:11">
      <c r="A102" s="3" t="s">
        <v>147</v>
      </c>
      <c r="B102" s="3">
        <v>13.814261535543384</v>
      </c>
      <c r="C102" s="53">
        <v>7.9525458715596339E-2</v>
      </c>
      <c r="D102" s="53">
        <f t="shared" si="1"/>
        <v>0.15718056832609495</v>
      </c>
      <c r="E102" s="53">
        <v>0.11218056832609494</v>
      </c>
      <c r="F102" s="53">
        <v>0.3</v>
      </c>
      <c r="G102" s="3" t="s">
        <v>46</v>
      </c>
      <c r="K102" s="58"/>
    </row>
    <row r="103" spans="1:11">
      <c r="A103" s="3" t="s">
        <v>148</v>
      </c>
      <c r="B103" s="3">
        <v>375.77071374276341</v>
      </c>
      <c r="C103" s="53">
        <v>7.9525458715596339E-2</v>
      </c>
      <c r="D103" s="53">
        <f t="shared" si="1"/>
        <v>0.15718056832609495</v>
      </c>
      <c r="E103" s="53">
        <v>0.11218056832609494</v>
      </c>
      <c r="F103" s="53">
        <v>0.3</v>
      </c>
      <c r="G103" s="3" t="s">
        <v>44</v>
      </c>
      <c r="K103" s="58"/>
    </row>
    <row r="104" spans="1:11">
      <c r="A104" s="3" t="s">
        <v>149</v>
      </c>
      <c r="B104" s="3">
        <v>398.83195647793656</v>
      </c>
      <c r="C104" s="53">
        <v>0</v>
      </c>
      <c r="D104" s="53">
        <f t="shared" si="1"/>
        <v>4.4999999999999998E-2</v>
      </c>
      <c r="E104" s="53">
        <v>0</v>
      </c>
      <c r="F104" s="53">
        <v>0.22</v>
      </c>
      <c r="G104" s="3" t="s">
        <v>42</v>
      </c>
      <c r="K104" s="58"/>
    </row>
    <row r="105" spans="1:11">
      <c r="A105" s="3" t="s">
        <v>150</v>
      </c>
      <c r="B105" s="3">
        <v>72.642652795838742</v>
      </c>
      <c r="C105" s="53">
        <v>4.4005045871559637E-2</v>
      </c>
      <c r="D105" s="53">
        <f t="shared" si="1"/>
        <v>0.10707460019490968</v>
      </c>
      <c r="E105" s="53">
        <v>6.2074600194909679E-2</v>
      </c>
      <c r="F105" s="53">
        <v>0.15</v>
      </c>
      <c r="G105" s="3" t="s">
        <v>38</v>
      </c>
      <c r="K105" s="58"/>
    </row>
    <row r="106" spans="1:11">
      <c r="A106" s="3" t="s">
        <v>151</v>
      </c>
      <c r="B106" s="3">
        <v>304.95181849406555</v>
      </c>
      <c r="C106" s="53">
        <v>9.1749082568807344E-2</v>
      </c>
      <c r="D106" s="53">
        <f t="shared" si="1"/>
        <v>0.17442351282468094</v>
      </c>
      <c r="E106" s="53">
        <v>0.12942351282468095</v>
      </c>
      <c r="F106" s="53">
        <v>0.28999999999999998</v>
      </c>
      <c r="G106" s="3" t="s">
        <v>57</v>
      </c>
      <c r="K106" s="58"/>
    </row>
    <row r="107" spans="1:11">
      <c r="A107" s="3" t="s">
        <v>152</v>
      </c>
      <c r="B107" s="3">
        <v>61.838175799999995</v>
      </c>
      <c r="C107" s="53">
        <v>2.3296788990825688E-2</v>
      </c>
      <c r="D107" s="53">
        <f t="shared" si="1"/>
        <v>7.7863023632599226E-2</v>
      </c>
      <c r="E107" s="53">
        <v>3.2863023632599235E-2</v>
      </c>
      <c r="F107" s="53">
        <v>0.25</v>
      </c>
      <c r="G107" s="3" t="s">
        <v>46</v>
      </c>
      <c r="K107" s="58"/>
    </row>
    <row r="108" spans="1:11">
      <c r="A108" s="3" t="s">
        <v>153</v>
      </c>
      <c r="B108" s="3">
        <v>21.088758484748524</v>
      </c>
      <c r="C108" s="53">
        <v>6.7301834862385335E-2</v>
      </c>
      <c r="D108" s="53">
        <f t="shared" si="1"/>
        <v>0.13993762382750893</v>
      </c>
      <c r="E108" s="53">
        <v>9.4937623827508935E-2</v>
      </c>
      <c r="F108" s="53">
        <v>0.3</v>
      </c>
      <c r="G108" s="3" t="s">
        <v>57</v>
      </c>
      <c r="K108" s="58"/>
    </row>
    <row r="109" spans="1:11">
      <c r="A109" s="3" t="s">
        <v>154</v>
      </c>
      <c r="B109" s="3">
        <v>29.7348952489053</v>
      </c>
      <c r="C109" s="53">
        <v>3.0630963302752296E-2</v>
      </c>
      <c r="D109" s="53">
        <f t="shared" si="1"/>
        <v>8.8208790331750858E-2</v>
      </c>
      <c r="E109" s="53">
        <v>4.3208790331750853E-2</v>
      </c>
      <c r="F109" s="53">
        <v>0.1</v>
      </c>
      <c r="G109" s="3" t="s">
        <v>46</v>
      </c>
      <c r="K109" s="58"/>
    </row>
    <row r="110" spans="1:11">
      <c r="A110" s="3" t="s">
        <v>155</v>
      </c>
      <c r="B110" s="3">
        <v>211.38927224215658</v>
      </c>
      <c r="C110" s="53">
        <v>1.9557798165137613E-2</v>
      </c>
      <c r="D110" s="53">
        <f t="shared" si="1"/>
        <v>7.2588711197737632E-2</v>
      </c>
      <c r="E110" s="53">
        <v>2.758871119773763E-2</v>
      </c>
      <c r="F110" s="53">
        <v>0.29499999999999998</v>
      </c>
      <c r="G110" s="3" t="s">
        <v>46</v>
      </c>
      <c r="K110" s="58"/>
    </row>
    <row r="111" spans="1:11">
      <c r="A111" s="3" t="s">
        <v>156</v>
      </c>
      <c r="B111" s="3">
        <v>313.59520873726927</v>
      </c>
      <c r="C111" s="53">
        <v>2.3296788990825688E-2</v>
      </c>
      <c r="D111" s="53">
        <f t="shared" si="1"/>
        <v>7.7863023632599226E-2</v>
      </c>
      <c r="E111" s="53">
        <v>3.2863023632599235E-2</v>
      </c>
      <c r="F111" s="53">
        <v>0.25</v>
      </c>
      <c r="G111" s="3" t="s">
        <v>57</v>
      </c>
      <c r="K111" s="58"/>
    </row>
    <row r="112" spans="1:11">
      <c r="A112" s="3" t="s">
        <v>157</v>
      </c>
      <c r="B112" s="3">
        <v>524.5095652634086</v>
      </c>
      <c r="C112" s="53">
        <v>1.0354128440366973E-2</v>
      </c>
      <c r="D112" s="53">
        <f t="shared" si="1"/>
        <v>5.9605788281155217E-2</v>
      </c>
      <c r="E112" s="53">
        <v>1.4605788281155217E-2</v>
      </c>
      <c r="F112" s="53">
        <v>0.19</v>
      </c>
      <c r="G112" s="3" t="s">
        <v>40</v>
      </c>
      <c r="K112" s="58"/>
    </row>
    <row r="113" spans="1:11">
      <c r="A113" s="3" t="s">
        <v>158</v>
      </c>
      <c r="B113" s="3">
        <v>217.57108304599035</v>
      </c>
      <c r="C113" s="53">
        <v>2.3296788990825688E-2</v>
      </c>
      <c r="D113" s="53">
        <f t="shared" si="1"/>
        <v>7.7863023632599226E-2</v>
      </c>
      <c r="E113" s="53">
        <v>3.2863023632599235E-2</v>
      </c>
      <c r="F113" s="53">
        <v>0.21</v>
      </c>
      <c r="G113" s="3" t="s">
        <v>42</v>
      </c>
      <c r="K113" s="58"/>
    </row>
    <row r="114" spans="1:11">
      <c r="A114" s="3" t="s">
        <v>159</v>
      </c>
      <c r="B114" s="3">
        <v>167.60521978021978</v>
      </c>
      <c r="C114" s="53">
        <v>7.3341743119266058E-3</v>
      </c>
      <c r="D114" s="53">
        <f t="shared" si="1"/>
        <v>5.5345766699151609E-2</v>
      </c>
      <c r="E114" s="53">
        <v>1.0345766699151613E-2</v>
      </c>
      <c r="F114" s="53">
        <v>0.1</v>
      </c>
      <c r="G114" s="3" t="s">
        <v>38</v>
      </c>
      <c r="K114" s="58"/>
    </row>
    <row r="115" spans="1:11">
      <c r="A115" s="3" t="s">
        <v>591</v>
      </c>
      <c r="B115" s="3">
        <v>5.2</v>
      </c>
      <c r="C115" s="53">
        <v>1.4668348623853212E-2</v>
      </c>
      <c r="D115" s="53">
        <f t="shared" si="1"/>
        <v>6.569153339830322E-2</v>
      </c>
      <c r="E115" s="53">
        <v>2.0691533398303225E-2</v>
      </c>
      <c r="F115" s="53"/>
      <c r="G115" s="3" t="s">
        <v>38</v>
      </c>
      <c r="K115" s="58"/>
    </row>
    <row r="116" spans="1:11">
      <c r="A116" s="3" t="s">
        <v>162</v>
      </c>
      <c r="B116" s="3">
        <v>211.80328192473783</v>
      </c>
      <c r="C116" s="53">
        <v>2.6891972477064225E-2</v>
      </c>
      <c r="D116" s="53">
        <f t="shared" si="1"/>
        <v>8.293447789688925E-2</v>
      </c>
      <c r="E116" s="53">
        <v>3.7934477896889252E-2</v>
      </c>
      <c r="F116" s="53">
        <v>0.16</v>
      </c>
      <c r="G116" s="3" t="s">
        <v>40</v>
      </c>
      <c r="K116" s="58"/>
    </row>
    <row r="117" spans="1:11">
      <c r="A117" s="3" t="s">
        <v>163</v>
      </c>
      <c r="B117" s="3">
        <v>1577.5241459631695</v>
      </c>
      <c r="C117" s="53">
        <v>9.1749082568807344E-2</v>
      </c>
      <c r="D117" s="53">
        <f t="shared" si="1"/>
        <v>0.17442351282468094</v>
      </c>
      <c r="E117" s="53">
        <v>0.12942351282468095</v>
      </c>
      <c r="F117" s="53">
        <v>0.2</v>
      </c>
      <c r="G117" s="3" t="s">
        <v>40</v>
      </c>
      <c r="K117" s="58"/>
    </row>
    <row r="118" spans="1:11">
      <c r="A118" s="3" t="s">
        <v>164</v>
      </c>
      <c r="B118" s="3">
        <v>9.1366895140947939</v>
      </c>
      <c r="C118" s="53">
        <v>6.7301834862385335E-2</v>
      </c>
      <c r="D118" s="53">
        <f t="shared" si="1"/>
        <v>0.13993762382750893</v>
      </c>
      <c r="E118" s="53">
        <v>9.4937623827508935E-2</v>
      </c>
      <c r="F118" s="53">
        <v>0.3</v>
      </c>
      <c r="G118" s="3" t="s">
        <v>44</v>
      </c>
      <c r="K118" s="58"/>
    </row>
    <row r="119" spans="1:11">
      <c r="A119" s="3" t="s">
        <v>165</v>
      </c>
      <c r="B119" s="3">
        <v>683.82714428853603</v>
      </c>
      <c r="C119" s="53">
        <v>8.6284403669724778E-3</v>
      </c>
      <c r="D119" s="53">
        <f t="shared" si="1"/>
        <v>5.7171490234296012E-2</v>
      </c>
      <c r="E119" s="53">
        <v>1.2171490234296015E-2</v>
      </c>
      <c r="F119" s="53">
        <v>0.2</v>
      </c>
      <c r="G119" s="3" t="s">
        <v>38</v>
      </c>
      <c r="K119" s="58"/>
    </row>
    <row r="120" spans="1:11">
      <c r="A120" s="3" t="s">
        <v>166</v>
      </c>
      <c r="B120" s="3">
        <v>16.374743753473073</v>
      </c>
      <c r="C120" s="53">
        <v>4.4005045871559637E-2</v>
      </c>
      <c r="D120" s="53">
        <f t="shared" si="1"/>
        <v>0.10707460019490968</v>
      </c>
      <c r="E120" s="53">
        <v>6.2074600194909679E-2</v>
      </c>
      <c r="F120" s="53">
        <v>0.3</v>
      </c>
      <c r="G120" s="3" t="s">
        <v>44</v>
      </c>
      <c r="K120" s="58"/>
    </row>
    <row r="121" spans="1:11">
      <c r="A121" s="3" t="s">
        <v>167</v>
      </c>
      <c r="B121" s="3">
        <v>41.431648801166318</v>
      </c>
      <c r="C121" s="53">
        <v>3.6814678899082569E-2</v>
      </c>
      <c r="D121" s="53">
        <f t="shared" si="1"/>
        <v>9.6931691666329658E-2</v>
      </c>
      <c r="E121" s="53">
        <v>5.193169166632966E-2</v>
      </c>
      <c r="F121" s="53">
        <v>0.15</v>
      </c>
      <c r="G121" s="3" t="s">
        <v>40</v>
      </c>
      <c r="K121" s="58"/>
    </row>
    <row r="122" spans="1:11">
      <c r="A122" s="3" t="s">
        <v>168</v>
      </c>
      <c r="B122" s="3">
        <v>5</v>
      </c>
      <c r="C122" s="53">
        <v>3.0630963302752296E-2</v>
      </c>
      <c r="D122" s="53">
        <f t="shared" si="1"/>
        <v>8.8208790331750858E-2</v>
      </c>
      <c r="E122" s="53">
        <v>4.3208790331750853E-2</v>
      </c>
      <c r="F122" s="53"/>
      <c r="G122" s="3" t="s">
        <v>38</v>
      </c>
      <c r="K122" s="58"/>
    </row>
    <row r="123" spans="1:11">
      <c r="A123" s="3" t="s">
        <v>169</v>
      </c>
      <c r="B123" s="3">
        <v>323.90723441233979</v>
      </c>
      <c r="C123" s="53">
        <v>0</v>
      </c>
      <c r="D123" s="53">
        <f t="shared" si="1"/>
        <v>4.4999999999999998E-2</v>
      </c>
      <c r="E123" s="53">
        <v>0</v>
      </c>
      <c r="F123" s="53">
        <v>0.17</v>
      </c>
      <c r="G123" s="3" t="s">
        <v>57</v>
      </c>
      <c r="K123" s="58"/>
    </row>
    <row r="124" spans="1:11">
      <c r="A124" s="3" t="s">
        <v>170</v>
      </c>
      <c r="B124" s="3">
        <v>95.769031980136219</v>
      </c>
      <c r="C124" s="53">
        <v>1.0354128440366973E-2</v>
      </c>
      <c r="D124" s="53">
        <f t="shared" si="1"/>
        <v>5.9605788281155217E-2</v>
      </c>
      <c r="E124" s="53">
        <v>1.4605788281155217E-2</v>
      </c>
      <c r="F124" s="53">
        <v>0.21</v>
      </c>
      <c r="G124" s="3" t="s">
        <v>40</v>
      </c>
      <c r="K124" s="58"/>
    </row>
    <row r="125" spans="1:11">
      <c r="A125" s="3" t="s">
        <v>171</v>
      </c>
      <c r="B125" s="3">
        <v>48.769655479238807</v>
      </c>
      <c r="C125" s="53">
        <v>1.4668348623853212E-2</v>
      </c>
      <c r="D125" s="53">
        <f t="shared" si="1"/>
        <v>6.569153339830322E-2</v>
      </c>
      <c r="E125" s="53">
        <v>2.0691533398303225E-2</v>
      </c>
      <c r="F125" s="53">
        <v>0.19</v>
      </c>
      <c r="G125" s="3" t="s">
        <v>40</v>
      </c>
      <c r="K125" s="58"/>
    </row>
    <row r="126" spans="1:11">
      <c r="A126" s="3" t="s">
        <v>608</v>
      </c>
      <c r="B126" s="3">
        <v>1.3034536161197352</v>
      </c>
      <c r="C126" s="53">
        <v>9.1749082568807344E-2</v>
      </c>
      <c r="D126" s="53">
        <f t="shared" si="1"/>
        <v>0.17442351282468094</v>
      </c>
      <c r="E126" s="53">
        <v>0.12942351282468095</v>
      </c>
      <c r="F126" s="53">
        <v>0.3</v>
      </c>
      <c r="G126" s="3" t="s">
        <v>57</v>
      </c>
      <c r="K126" s="58"/>
    </row>
    <row r="127" spans="1:11">
      <c r="A127" s="3" t="s">
        <v>172</v>
      </c>
      <c r="B127" s="3">
        <v>349.41934361408858</v>
      </c>
      <c r="C127" s="53">
        <v>3.6814678899082569E-2</v>
      </c>
      <c r="D127" s="53">
        <f t="shared" si="1"/>
        <v>9.6931691666329658E-2</v>
      </c>
      <c r="E127" s="53">
        <v>5.193169166632966E-2</v>
      </c>
      <c r="F127" s="53">
        <v>0.27</v>
      </c>
      <c r="G127" s="3" t="s">
        <v>44</v>
      </c>
      <c r="K127" s="58"/>
    </row>
    <row r="128" spans="1:11">
      <c r="A128" s="3" t="s">
        <v>173</v>
      </c>
      <c r="B128" s="3">
        <v>1311.3200155159884</v>
      </c>
      <c r="C128" s="53">
        <v>1.9557798165137613E-2</v>
      </c>
      <c r="D128" s="53">
        <f t="shared" si="1"/>
        <v>7.2588711197737632E-2</v>
      </c>
      <c r="E128" s="53">
        <v>2.758871119773763E-2</v>
      </c>
      <c r="F128" s="53">
        <v>0.25</v>
      </c>
      <c r="G128" s="3" t="s">
        <v>42</v>
      </c>
      <c r="K128" s="58"/>
    </row>
    <row r="129" spans="1:11">
      <c r="A129" s="3" t="s">
        <v>174</v>
      </c>
      <c r="B129" s="3">
        <v>87.1746822004324</v>
      </c>
      <c r="C129" s="53">
        <v>0.14682729357798166</v>
      </c>
      <c r="D129" s="53">
        <f t="shared" si="1"/>
        <v>0.25211819215360387</v>
      </c>
      <c r="E129" s="53">
        <v>0.20711819215360386</v>
      </c>
      <c r="F129" s="53">
        <v>0.24</v>
      </c>
      <c r="G129" s="3" t="s">
        <v>57</v>
      </c>
      <c r="K129" s="58"/>
    </row>
    <row r="130" spans="1:11">
      <c r="A130" s="3" t="s">
        <v>175</v>
      </c>
      <c r="B130" s="3">
        <v>1.5</v>
      </c>
      <c r="C130" s="53">
        <v>3.6814678899082569E-2</v>
      </c>
      <c r="D130" s="53">
        <f t="shared" si="1"/>
        <v>9.6931691666329658E-2</v>
      </c>
      <c r="E130" s="53">
        <v>5.193169166632966E-2</v>
      </c>
      <c r="F130" s="53">
        <v>0.35</v>
      </c>
      <c r="G130" s="3" t="s">
        <v>49</v>
      </c>
      <c r="K130" s="58"/>
    </row>
    <row r="131" spans="1:11">
      <c r="A131" s="3" t="s">
        <v>176</v>
      </c>
      <c r="B131" s="3">
        <v>0.77</v>
      </c>
      <c r="C131" s="53">
        <v>7.9525458715596339E-2</v>
      </c>
      <c r="D131" s="53">
        <f t="shared" si="1"/>
        <v>0.15718056832609495</v>
      </c>
      <c r="E131" s="53">
        <v>0.11218056832609494</v>
      </c>
      <c r="F131" s="53"/>
      <c r="G131" s="3" t="s">
        <v>49</v>
      </c>
      <c r="K131" s="58"/>
    </row>
    <row r="132" spans="1:11">
      <c r="A132" s="3" t="s">
        <v>177</v>
      </c>
      <c r="B132" s="3">
        <v>3.3243853252667708</v>
      </c>
      <c r="C132" s="53">
        <v>0.12238004587155965</v>
      </c>
      <c r="D132" s="53">
        <f t="shared" ref="D132:D147" si="2">$D$148+E132</f>
        <v>0.21763230315643184</v>
      </c>
      <c r="E132" s="53">
        <v>0.17263230315643183</v>
      </c>
      <c r="F132" s="53">
        <v>0.36</v>
      </c>
      <c r="G132" s="3" t="s">
        <v>46</v>
      </c>
      <c r="K132" s="58"/>
    </row>
    <row r="133" spans="1:11">
      <c r="A133" s="3" t="s">
        <v>178</v>
      </c>
      <c r="B133" s="3">
        <v>3.72</v>
      </c>
      <c r="C133" s="53">
        <v>7.9525458715596339E-2</v>
      </c>
      <c r="D133" s="53">
        <f t="shared" si="2"/>
        <v>0.15718056832609495</v>
      </c>
      <c r="E133" s="53">
        <v>0.11218056832609494</v>
      </c>
      <c r="F133" s="53">
        <v>0.27500000000000002</v>
      </c>
      <c r="G133" s="3" t="s">
        <v>44</v>
      </c>
      <c r="K133" s="58"/>
    </row>
    <row r="134" spans="1:11">
      <c r="A134" s="3" t="s">
        <v>179</v>
      </c>
      <c r="B134" s="3">
        <v>538.04045821699651</v>
      </c>
      <c r="C134" s="53">
        <v>0</v>
      </c>
      <c r="D134" s="53">
        <f t="shared" si="2"/>
        <v>4.4999999999999998E-2</v>
      </c>
      <c r="E134" s="53">
        <v>0</v>
      </c>
      <c r="F134" s="53">
        <v>0.20599999999999999</v>
      </c>
      <c r="G134" s="3" t="s">
        <v>42</v>
      </c>
      <c r="K134" s="58"/>
    </row>
    <row r="135" spans="1:11">
      <c r="A135" s="3" t="s">
        <v>180</v>
      </c>
      <c r="B135" s="3">
        <v>678.88733684825183</v>
      </c>
      <c r="C135" s="53">
        <v>0</v>
      </c>
      <c r="D135" s="53">
        <f t="shared" si="2"/>
        <v>4.4999999999999998E-2</v>
      </c>
      <c r="E135" s="53">
        <v>0</v>
      </c>
      <c r="F135" s="53">
        <v>0.18</v>
      </c>
      <c r="G135" s="3" t="s">
        <v>42</v>
      </c>
      <c r="K135" s="58"/>
    </row>
    <row r="136" spans="1:11">
      <c r="A136" s="3" t="s">
        <v>181</v>
      </c>
      <c r="B136" s="3">
        <v>970.9</v>
      </c>
      <c r="C136" s="53">
        <v>7.3341743119266058E-3</v>
      </c>
      <c r="D136" s="53">
        <f t="shared" si="2"/>
        <v>5.5345766699151609E-2</v>
      </c>
      <c r="E136" s="53">
        <v>1.0345766699151613E-2</v>
      </c>
      <c r="F136" s="53">
        <v>0.2</v>
      </c>
      <c r="G136" s="3" t="s">
        <v>57</v>
      </c>
      <c r="K136" s="58"/>
    </row>
    <row r="137" spans="1:11">
      <c r="A137" s="3" t="s">
        <v>182</v>
      </c>
      <c r="B137" s="3">
        <v>7.1457010187491958</v>
      </c>
      <c r="C137" s="53">
        <v>7.9525458715596339E-2</v>
      </c>
      <c r="D137" s="53">
        <f t="shared" si="2"/>
        <v>0.15718056832609495</v>
      </c>
      <c r="E137" s="53">
        <v>0.11218056832609494</v>
      </c>
      <c r="F137" s="53"/>
      <c r="G137" s="3" t="s">
        <v>40</v>
      </c>
      <c r="K137" s="58"/>
    </row>
    <row r="138" spans="1:11">
      <c r="A138" s="3" t="s">
        <v>609</v>
      </c>
      <c r="B138" s="3">
        <v>52.090320325473591</v>
      </c>
      <c r="C138" s="53">
        <v>6.7301834862385335E-2</v>
      </c>
      <c r="D138" s="53">
        <f t="shared" si="2"/>
        <v>0.13993762382750893</v>
      </c>
      <c r="E138" s="53">
        <v>9.4937623827508935E-2</v>
      </c>
      <c r="F138" s="53"/>
      <c r="G138" s="3" t="s">
        <v>44</v>
      </c>
      <c r="K138" s="58"/>
    </row>
    <row r="139" spans="1:11">
      <c r="A139" s="3" t="s">
        <v>183</v>
      </c>
      <c r="B139" s="3">
        <v>455.22092057112889</v>
      </c>
      <c r="C139" s="53">
        <v>1.9557798165137613E-2</v>
      </c>
      <c r="D139" s="53">
        <f t="shared" si="2"/>
        <v>7.2588711197737632E-2</v>
      </c>
      <c r="E139" s="53">
        <v>2.758871119773763E-2</v>
      </c>
      <c r="F139" s="53">
        <v>0.2</v>
      </c>
      <c r="G139" s="3" t="s">
        <v>57</v>
      </c>
      <c r="K139" s="58"/>
    </row>
    <row r="140" spans="1:11">
      <c r="A140" s="3" t="s">
        <v>184</v>
      </c>
      <c r="B140" s="3">
        <v>22.104775828460038</v>
      </c>
      <c r="C140" s="53">
        <v>3.6814678899082569E-2</v>
      </c>
      <c r="D140" s="53">
        <f t="shared" si="2"/>
        <v>9.6931691666329658E-2</v>
      </c>
      <c r="E140" s="53">
        <v>5.193169166632966E-2</v>
      </c>
      <c r="F140" s="53">
        <v>0.3</v>
      </c>
      <c r="G140" s="3" t="s">
        <v>49</v>
      </c>
      <c r="K140" s="58"/>
    </row>
    <row r="141" spans="1:11">
      <c r="A141" s="3" t="s">
        <v>185</v>
      </c>
      <c r="B141" s="3">
        <v>40.25667520872944</v>
      </c>
      <c r="C141" s="53">
        <v>9.1749082568807344E-2</v>
      </c>
      <c r="D141" s="53">
        <f t="shared" si="2"/>
        <v>0.17442351282468094</v>
      </c>
      <c r="E141" s="53">
        <v>0.12942351282468095</v>
      </c>
      <c r="F141" s="53">
        <v>0.15</v>
      </c>
      <c r="G141" s="3" t="s">
        <v>44</v>
      </c>
      <c r="K141" s="58"/>
    </row>
    <row r="142" spans="1:11">
      <c r="A142" s="3" t="s">
        <v>186</v>
      </c>
      <c r="B142" s="3">
        <v>851.10241111811627</v>
      </c>
      <c r="C142" s="53">
        <v>7.9525458715596339E-2</v>
      </c>
      <c r="D142" s="53">
        <f t="shared" si="2"/>
        <v>0.15718056832609495</v>
      </c>
      <c r="E142" s="53">
        <v>0.11218056832609494</v>
      </c>
      <c r="F142" s="53">
        <v>0.23</v>
      </c>
      <c r="G142" s="3" t="s">
        <v>42</v>
      </c>
      <c r="K142" s="58"/>
    </row>
    <row r="143" spans="1:11">
      <c r="A143" s="3" t="s">
        <v>592</v>
      </c>
      <c r="B143" s="3">
        <v>1.5</v>
      </c>
      <c r="C143" s="53">
        <v>1.9557798165137613E-2</v>
      </c>
      <c r="D143" s="53">
        <f t="shared" si="2"/>
        <v>7.2588711197737632E-2</v>
      </c>
      <c r="E143" s="53">
        <v>2.758871119773763E-2</v>
      </c>
      <c r="F143" s="53">
        <v>0</v>
      </c>
      <c r="G143" s="3" t="s">
        <v>49</v>
      </c>
      <c r="K143" s="58"/>
    </row>
    <row r="144" spans="1:11">
      <c r="A144" s="3" t="s">
        <v>189</v>
      </c>
      <c r="B144" s="3">
        <v>25.891058946193581</v>
      </c>
      <c r="C144" s="53">
        <v>6.7301834862385335E-2</v>
      </c>
      <c r="D144" s="53">
        <f t="shared" si="2"/>
        <v>0.13993762382750893</v>
      </c>
      <c r="E144" s="53">
        <v>9.4937623827508935E-2</v>
      </c>
      <c r="F144" s="53">
        <v>0.3</v>
      </c>
      <c r="G144" s="3" t="s">
        <v>44</v>
      </c>
      <c r="K144" s="58"/>
    </row>
    <row r="145" spans="1:11">
      <c r="A145" s="3" t="s">
        <v>190</v>
      </c>
      <c r="B145" s="3">
        <v>112.1541851214065</v>
      </c>
      <c r="C145" s="53">
        <v>0.12238004587155965</v>
      </c>
      <c r="D145" s="53">
        <f t="shared" si="2"/>
        <v>0.21763230315643184</v>
      </c>
      <c r="E145" s="53">
        <v>0.17263230315643183</v>
      </c>
      <c r="F145" s="53">
        <v>0.18</v>
      </c>
      <c r="G145" s="3" t="s">
        <v>40</v>
      </c>
      <c r="K145" s="58"/>
    </row>
    <row r="146" spans="1:11">
      <c r="A146" s="3" t="s">
        <v>191</v>
      </c>
      <c r="B146" s="3">
        <v>382.57508509189927</v>
      </c>
      <c r="C146" s="53">
        <v>6.0399082568807346E-3</v>
      </c>
      <c r="D146" s="53">
        <f t="shared" si="2"/>
        <v>5.3520043164007207E-2</v>
      </c>
      <c r="E146" s="53">
        <v>8.5200431640072103E-3</v>
      </c>
      <c r="F146" s="53">
        <v>0</v>
      </c>
      <c r="G146" s="3" t="s">
        <v>38</v>
      </c>
      <c r="K146" s="58"/>
    </row>
    <row r="147" spans="1:11">
      <c r="A147" s="3" t="s">
        <v>192</v>
      </c>
      <c r="B147" s="3">
        <v>2622.4339596041618</v>
      </c>
      <c r="C147" s="53">
        <v>7.3341743119266058E-3</v>
      </c>
      <c r="D147" s="53">
        <f t="shared" si="2"/>
        <v>5.5345766699151609E-2</v>
      </c>
      <c r="E147" s="53">
        <v>1.0345766699151613E-2</v>
      </c>
      <c r="F147" s="53">
        <v>0.25</v>
      </c>
      <c r="G147" s="3" t="s">
        <v>42</v>
      </c>
      <c r="K147" s="58"/>
    </row>
    <row r="148" spans="1:11">
      <c r="A148" s="3" t="s">
        <v>193</v>
      </c>
      <c r="B148" s="3">
        <v>19390.603999999999</v>
      </c>
      <c r="C148" s="53">
        <v>0</v>
      </c>
      <c r="D148" s="112">
        <v>4.4999999999999998E-2</v>
      </c>
      <c r="E148" s="53">
        <v>0</v>
      </c>
      <c r="F148" s="53">
        <v>0.25</v>
      </c>
      <c r="G148" s="3" t="s">
        <v>73</v>
      </c>
    </row>
    <row r="149" spans="1:11">
      <c r="A149" s="3" t="s">
        <v>194</v>
      </c>
      <c r="B149" s="3">
        <v>56.15697215769584</v>
      </c>
      <c r="C149" s="53">
        <v>2.3296788990825688E-2</v>
      </c>
      <c r="D149" s="53">
        <f>$D$148+E149</f>
        <v>7.7863023632599226E-2</v>
      </c>
      <c r="E149" s="53">
        <v>3.2863023632599235E-2</v>
      </c>
      <c r="F149" s="53">
        <v>0.25</v>
      </c>
      <c r="G149" s="3" t="s">
        <v>46</v>
      </c>
    </row>
    <row r="150" spans="1:11">
      <c r="A150" s="3" t="s">
        <v>195</v>
      </c>
      <c r="B150" s="3">
        <v>250</v>
      </c>
      <c r="C150" s="58">
        <v>0.17499999999999999</v>
      </c>
      <c r="D150" s="53">
        <f t="shared" ref="D150:D152" si="3">$D$148+E150</f>
        <v>0.29185930485826311</v>
      </c>
      <c r="E150" s="58">
        <v>0.2468593048582631</v>
      </c>
      <c r="F150" s="3">
        <v>0.34</v>
      </c>
      <c r="G150" s="3" t="s">
        <v>46</v>
      </c>
    </row>
    <row r="151" spans="1:11">
      <c r="A151" s="3" t="s">
        <v>196</v>
      </c>
      <c r="B151" s="3">
        <v>223.86399635465543</v>
      </c>
      <c r="C151" s="58">
        <v>3.6814678899082569E-2</v>
      </c>
      <c r="D151" s="53">
        <f t="shared" si="3"/>
        <v>9.6931691666329658E-2</v>
      </c>
      <c r="E151" s="58">
        <v>5.193169166632966E-2</v>
      </c>
      <c r="F151" s="3">
        <v>0.2</v>
      </c>
      <c r="G151" s="3" t="s">
        <v>57</v>
      </c>
    </row>
    <row r="152" spans="1:11">
      <c r="A152" s="3" t="s">
        <v>197</v>
      </c>
      <c r="B152" s="3">
        <v>25.808666421555753</v>
      </c>
      <c r="C152" s="58">
        <v>0.14682729357798166</v>
      </c>
      <c r="D152" s="53">
        <f t="shared" si="3"/>
        <v>0.25211819215360387</v>
      </c>
      <c r="E152" s="58">
        <v>0.20711819215360386</v>
      </c>
      <c r="F152" s="3">
        <v>0.35</v>
      </c>
      <c r="G152" s="3" t="s">
        <v>44</v>
      </c>
    </row>
    <row r="155" spans="1:11">
      <c r="A155" s="108" t="s">
        <v>36</v>
      </c>
      <c r="B155" s="109" t="s">
        <v>593</v>
      </c>
      <c r="C155" s="109" t="s">
        <v>594</v>
      </c>
      <c r="D155" s="109" t="s">
        <v>595</v>
      </c>
      <c r="E155" s="109" t="s">
        <v>596</v>
      </c>
    </row>
    <row r="156" spans="1:11">
      <c r="A156" s="110" t="s">
        <v>44</v>
      </c>
      <c r="B156" s="111">
        <f>$B$163+C156</f>
        <v>0.15207530436670968</v>
      </c>
      <c r="C156" s="111">
        <v>0.1070753043667097</v>
      </c>
      <c r="D156" s="111">
        <v>7.590630733944953E-2</v>
      </c>
      <c r="E156" s="111">
        <v>0.26380999999999999</v>
      </c>
      <c r="G156" s="131" t="s">
        <v>672</v>
      </c>
      <c r="H156" s="132"/>
    </row>
    <row r="157" spans="1:11">
      <c r="A157" s="110" t="s">
        <v>57</v>
      </c>
      <c r="B157" s="111">
        <f t="shared" ref="B157:B162" si="4">$B$163+C157</f>
        <v>0.10924430062797984</v>
      </c>
      <c r="C157" s="111">
        <v>6.4244300627979839E-2</v>
      </c>
      <c r="D157" s="111">
        <v>4.5543159154367775E-2</v>
      </c>
      <c r="E157" s="111">
        <v>0.23766521739130436</v>
      </c>
      <c r="G157" s="133"/>
      <c r="H157" s="134"/>
    </row>
    <row r="158" spans="1:11">
      <c r="A158" s="110" t="s">
        <v>51</v>
      </c>
      <c r="B158" s="111">
        <f t="shared" si="4"/>
        <v>7.0898226442974291E-2</v>
      </c>
      <c r="C158" s="111">
        <v>2.5898226442974296E-2</v>
      </c>
      <c r="D158" s="111">
        <v>1.8359403669724769E-2</v>
      </c>
      <c r="E158" s="111">
        <v>0.28810000000000002</v>
      </c>
      <c r="G158" s="135"/>
      <c r="H158" s="136"/>
    </row>
    <row r="159" spans="1:11">
      <c r="A159" s="110" t="s">
        <v>49</v>
      </c>
      <c r="B159" s="111">
        <f t="shared" si="4"/>
        <v>0.11239238223775089</v>
      </c>
      <c r="C159" s="111">
        <v>6.7392382237750889E-2</v>
      </c>
      <c r="D159" s="111">
        <v>4.7774852555701179E-2</v>
      </c>
      <c r="E159" s="111">
        <v>0.17372857142857143</v>
      </c>
    </row>
    <row r="160" spans="1:11">
      <c r="A160" s="110" t="s">
        <v>46</v>
      </c>
      <c r="B160" s="111">
        <f t="shared" si="4"/>
        <v>0.14073737509411394</v>
      </c>
      <c r="C160" s="111">
        <v>9.5737375094113952E-2</v>
      </c>
      <c r="D160" s="111">
        <v>6.7868783196523425E-2</v>
      </c>
      <c r="E160" s="111">
        <v>0.28298947368421046</v>
      </c>
    </row>
    <row r="161" spans="1:5">
      <c r="A161" s="110" t="s">
        <v>40</v>
      </c>
      <c r="B161" s="111">
        <f t="shared" si="4"/>
        <v>0.1092233941498533</v>
      </c>
      <c r="C161" s="111">
        <v>6.42233941498533E-2</v>
      </c>
      <c r="D161" s="111">
        <v>4.5528338430173294E-2</v>
      </c>
      <c r="E161" s="111">
        <v>0.16111111111111109</v>
      </c>
    </row>
    <row r="162" spans="1:5">
      <c r="A162" s="110" t="s">
        <v>38</v>
      </c>
      <c r="B162" s="111">
        <f t="shared" si="4"/>
        <v>0.10183002834572261</v>
      </c>
      <c r="C162" s="111">
        <v>5.6830028345722601E-2</v>
      </c>
      <c r="D162" s="111">
        <v>4.0287138320395204E-2</v>
      </c>
      <c r="E162" s="111">
        <v>0.11538461538461539</v>
      </c>
    </row>
    <row r="163" spans="1:5">
      <c r="A163" s="110" t="s">
        <v>73</v>
      </c>
      <c r="B163" s="111">
        <f>D148</f>
        <v>4.4999999999999998E-2</v>
      </c>
      <c r="C163" s="111">
        <v>0</v>
      </c>
      <c r="D163" s="111">
        <v>0</v>
      </c>
      <c r="E163" s="111">
        <v>0.25</v>
      </c>
    </row>
    <row r="164" spans="1:5">
      <c r="A164" s="110" t="s">
        <v>42</v>
      </c>
      <c r="B164" s="111">
        <f>$B$163+C164</f>
        <v>6.2055690802673771E-2</v>
      </c>
      <c r="C164" s="111">
        <v>1.7055690802673776E-2</v>
      </c>
      <c r="D164" s="111">
        <v>1.2090878616796049E-2</v>
      </c>
      <c r="E164" s="111">
        <v>0.19570000000000004</v>
      </c>
    </row>
    <row r="165" spans="1:5">
      <c r="A165" s="110" t="s">
        <v>597</v>
      </c>
      <c r="B165" s="111">
        <f>$B$163+C165</f>
        <v>0.1115372367789832</v>
      </c>
      <c r="C165" s="111">
        <v>6.6537236778983197E-2</v>
      </c>
      <c r="D165" s="111">
        <v>4.7168634955881479E-2</v>
      </c>
      <c r="E165" s="111">
        <v>0.21332547770700633</v>
      </c>
    </row>
  </sheetData>
  <mergeCells count="1">
    <mergeCell ref="G156:H158"/>
  </mergeCells>
  <hyperlinks>
    <hyperlink ref="G156:H158" r:id="rId1" display="ERP Link" xr:uid="{27D99804-DDD5-4EB9-A092-44AF0EED5083}"/>
    <hyperlink ref="K1" location="'Country equity risk premiums'!G156" display="'Country equity risk premiums'!G156" xr:uid="{EC82FFDB-D0BC-4B96-9E90-C83E9B0FA5CA}"/>
  </hyperlinks>
  <pageMargins left="0.7" right="0.7" top="0.75" bottom="0.75" header="0.3" footer="0.3"/>
  <pageSetup orientation="portrait"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6897F-8CCF-4607-9FF2-36A4EAFED872}">
  <sheetPr>
    <tabColor theme="4" tint="0.39997558519241921"/>
  </sheetPr>
  <dimension ref="A1:H5"/>
  <sheetViews>
    <sheetView workbookViewId="0">
      <selection sqref="A1:XFD1048576"/>
    </sheetView>
  </sheetViews>
  <sheetFormatPr defaultRowHeight="15"/>
  <cols>
    <col min="1" max="3" width="9.140625" style="3"/>
    <col min="4" max="4" width="22.140625" style="3" bestFit="1" customWidth="1"/>
    <col min="5" max="5" width="9.140625" style="3"/>
    <col min="6" max="6" width="23.140625" style="3" bestFit="1" customWidth="1"/>
    <col min="7" max="7" width="15" style="3" bestFit="1" customWidth="1"/>
    <col min="8" max="16384" width="9.140625" style="3"/>
  </cols>
  <sheetData>
    <row r="1" spans="1:8">
      <c r="A1" s="3" t="s">
        <v>294</v>
      </c>
      <c r="B1" s="3">
        <v>0.25</v>
      </c>
      <c r="C1" s="3" t="s">
        <v>319</v>
      </c>
      <c r="D1" s="3" t="s">
        <v>555</v>
      </c>
      <c r="F1" s="3" t="s">
        <v>559</v>
      </c>
      <c r="G1" s="3" t="s">
        <v>555</v>
      </c>
      <c r="H1" s="3">
        <v>1</v>
      </c>
    </row>
    <row r="2" spans="1:8">
      <c r="A2" s="3" t="s">
        <v>295</v>
      </c>
      <c r="B2" s="3">
        <v>0.5</v>
      </c>
      <c r="C2" s="3" t="s">
        <v>320</v>
      </c>
      <c r="D2" s="3" t="s">
        <v>556</v>
      </c>
      <c r="F2" s="3" t="s">
        <v>2</v>
      </c>
      <c r="G2" s="3" t="s">
        <v>499</v>
      </c>
      <c r="H2" s="3">
        <v>2</v>
      </c>
    </row>
    <row r="3" spans="1:8">
      <c r="B3" s="3">
        <v>0.75</v>
      </c>
      <c r="D3" s="3" t="s">
        <v>497</v>
      </c>
      <c r="F3" s="3" t="s">
        <v>560</v>
      </c>
      <c r="G3" s="3" t="s">
        <v>561</v>
      </c>
    </row>
    <row r="4" spans="1:8">
      <c r="B4" s="3">
        <v>1</v>
      </c>
      <c r="D4" s="3" t="s">
        <v>557</v>
      </c>
      <c r="F4" s="3" t="s">
        <v>498</v>
      </c>
    </row>
    <row r="5" spans="1:8">
      <c r="D5" s="3" t="s">
        <v>558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32484-B5A5-45E7-A42E-27F2F1B3F853}">
  <sheetPr>
    <tabColor theme="4" tint="0.39997558519241921"/>
  </sheetPr>
  <dimension ref="A1:H7"/>
  <sheetViews>
    <sheetView workbookViewId="0">
      <selection activeCell="G1" sqref="G1:H1"/>
    </sheetView>
  </sheetViews>
  <sheetFormatPr defaultRowHeight="15"/>
  <cols>
    <col min="1" max="1" width="21.140625" style="3" bestFit="1" customWidth="1"/>
    <col min="2" max="2" width="11.140625" style="3" bestFit="1" customWidth="1"/>
    <col min="3" max="3" width="22.7109375" style="3" bestFit="1" customWidth="1"/>
    <col min="4" max="4" width="26.140625" style="3" bestFit="1" customWidth="1"/>
    <col min="5" max="5" width="16.42578125" style="3" bestFit="1" customWidth="1"/>
    <col min="6" max="16384" width="9.140625" style="3"/>
  </cols>
  <sheetData>
    <row r="1" spans="1:8">
      <c r="A1" s="3" t="s">
        <v>599</v>
      </c>
      <c r="B1" s="85" t="s">
        <v>600</v>
      </c>
      <c r="C1" s="85" t="s">
        <v>601</v>
      </c>
      <c r="D1" s="85" t="s">
        <v>602</v>
      </c>
      <c r="E1" s="85" t="s">
        <v>603</v>
      </c>
      <c r="G1" s="138" t="s">
        <v>677</v>
      </c>
      <c r="H1" s="138"/>
    </row>
    <row r="2" spans="1:8">
      <c r="A2" s="86" t="s">
        <v>5</v>
      </c>
      <c r="B2" s="88">
        <v>757.9</v>
      </c>
      <c r="C2" s="88">
        <v>562.22</v>
      </c>
      <c r="D2" s="88">
        <v>581.98</v>
      </c>
      <c r="E2" s="87">
        <f>B2-C2+D2</f>
        <v>777.66</v>
      </c>
    </row>
    <row r="3" spans="1:8">
      <c r="A3" s="86" t="s">
        <v>604</v>
      </c>
      <c r="B3" s="88">
        <v>0</v>
      </c>
      <c r="C3" s="88">
        <v>0</v>
      </c>
      <c r="D3" s="88">
        <v>0</v>
      </c>
      <c r="E3" s="87">
        <f>B3-C3+D3</f>
        <v>0</v>
      </c>
    </row>
    <row r="4" spans="1:8">
      <c r="A4" s="86" t="s">
        <v>6</v>
      </c>
      <c r="B4" s="88">
        <v>139.07</v>
      </c>
      <c r="C4" s="88">
        <v>99.3</v>
      </c>
      <c r="D4" s="88">
        <v>114.78</v>
      </c>
      <c r="E4" s="87">
        <f>B4-C4+D4</f>
        <v>154.55000000000001</v>
      </c>
    </row>
    <row r="5" spans="1:8">
      <c r="A5" s="86" t="s">
        <v>605</v>
      </c>
      <c r="B5" s="88">
        <v>13.2</v>
      </c>
      <c r="C5" s="88">
        <v>9.09</v>
      </c>
      <c r="D5" s="88">
        <v>10.08</v>
      </c>
      <c r="E5" s="87">
        <f>B5-C5+D5</f>
        <v>14.19</v>
      </c>
    </row>
    <row r="6" spans="1:8">
      <c r="E6" s="87"/>
    </row>
    <row r="7" spans="1:8">
      <c r="A7" s="74" t="s">
        <v>670</v>
      </c>
      <c r="B7" s="89">
        <v>0</v>
      </c>
      <c r="C7" s="89">
        <v>0</v>
      </c>
      <c r="D7" s="89">
        <v>0</v>
      </c>
      <c r="E7" s="87">
        <f>B7-C7+D7</f>
        <v>0</v>
      </c>
    </row>
  </sheetData>
  <mergeCells count="1">
    <mergeCell ref="G1:H1"/>
  </mergeCells>
  <hyperlinks>
    <hyperlink ref="G1:H1" location="'Input Sheet'!A1" display="Back to Input Sheet" xr:uid="{3399422C-C562-49D9-ADAD-3AB3B174A3D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DF03F-2B02-4373-81DD-EF7BA066F700}">
  <sheetPr>
    <tabColor theme="4" tint="0.39997558519241921"/>
  </sheetPr>
  <dimension ref="A1:N40"/>
  <sheetViews>
    <sheetView tabSelected="1" workbookViewId="0"/>
  </sheetViews>
  <sheetFormatPr defaultRowHeight="15"/>
  <cols>
    <col min="1" max="1" width="30.5703125" style="3" bestFit="1" customWidth="1"/>
    <col min="2" max="2" width="14.5703125" style="3" customWidth="1"/>
    <col min="3" max="12" width="12.85546875" style="3" bestFit="1" customWidth="1"/>
    <col min="13" max="13" width="18.42578125" style="3" customWidth="1"/>
    <col min="14" max="14" width="15.85546875" style="3" customWidth="1"/>
    <col min="15" max="16384" width="9.140625" style="3"/>
  </cols>
  <sheetData>
    <row r="1" spans="1:14" s="44" customFormat="1" ht="20.25" thickBot="1">
      <c r="B1" s="44" t="s">
        <v>347</v>
      </c>
      <c r="C1" s="44">
        <v>1</v>
      </c>
      <c r="D1" s="44">
        <v>2</v>
      </c>
      <c r="E1" s="44">
        <v>3</v>
      </c>
      <c r="F1" s="44">
        <v>4</v>
      </c>
      <c r="G1" s="44">
        <v>5</v>
      </c>
      <c r="H1" s="44">
        <v>6</v>
      </c>
      <c r="I1" s="44">
        <v>7</v>
      </c>
      <c r="J1" s="44">
        <v>8</v>
      </c>
      <c r="K1" s="44">
        <v>9</v>
      </c>
      <c r="L1" s="44">
        <v>10</v>
      </c>
      <c r="M1" s="44" t="s">
        <v>348</v>
      </c>
    </row>
    <row r="2" spans="1:14" ht="15.75" thickTop="1">
      <c r="A2" s="3" t="s">
        <v>349</v>
      </c>
      <c r="C2" s="21">
        <f>'Input Sheet'!B23</f>
        <v>7.0000000000000007E-2</v>
      </c>
      <c r="D2" s="21">
        <f>C2</f>
        <v>7.0000000000000007E-2</v>
      </c>
      <c r="E2" s="21">
        <f>'Input Sheet'!C23</f>
        <v>0.1</v>
      </c>
      <c r="F2" s="21">
        <f>E2</f>
        <v>0.1</v>
      </c>
      <c r="G2" s="21">
        <f>F2</f>
        <v>0.1</v>
      </c>
      <c r="H2" s="21">
        <f>G2-((G2-'Input Sheet'!B27)/5)</f>
        <v>8.8200000000000001E-2</v>
      </c>
      <c r="I2" s="21">
        <f>G2-((G2-'Input Sheet'!B27)/5)*2</f>
        <v>7.6399999999999996E-2</v>
      </c>
      <c r="J2" s="21">
        <f>G2-((G2-'Input Sheet'!B27)/5)*3</f>
        <v>6.4600000000000005E-2</v>
      </c>
      <c r="K2" s="21">
        <f>G2-((G2-'Input Sheet'!B27)/5)*4</f>
        <v>5.28E-2</v>
      </c>
      <c r="L2" s="21">
        <f>G2-((G2-'Input Sheet'!B27)/5)*5</f>
        <v>4.0999999999999995E-2</v>
      </c>
      <c r="M2" s="21">
        <f>L2</f>
        <v>4.0999999999999995E-2</v>
      </c>
    </row>
    <row r="3" spans="1:14">
      <c r="A3" s="3" t="s">
        <v>5</v>
      </c>
      <c r="B3" s="29">
        <f>'Input Sheet'!B8</f>
        <v>777.66</v>
      </c>
      <c r="C3" s="29">
        <f>B3*(1+C2)</f>
        <v>832.09620000000007</v>
      </c>
      <c r="D3" s="29">
        <f t="shared" ref="D3:L3" si="0">C3*(1+D2)</f>
        <v>890.34293400000013</v>
      </c>
      <c r="E3" s="29">
        <f t="shared" si="0"/>
        <v>979.37722740000027</v>
      </c>
      <c r="F3" s="29">
        <f t="shared" si="0"/>
        <v>1077.3149501400003</v>
      </c>
      <c r="G3" s="29">
        <f t="shared" si="0"/>
        <v>1185.0464451540004</v>
      </c>
      <c r="H3" s="29">
        <f t="shared" si="0"/>
        <v>1289.5675416165832</v>
      </c>
      <c r="I3" s="29">
        <f t="shared" si="0"/>
        <v>1388.0905017960902</v>
      </c>
      <c r="J3" s="29">
        <f t="shared" si="0"/>
        <v>1477.7611482121176</v>
      </c>
      <c r="K3" s="29">
        <f t="shared" si="0"/>
        <v>1555.7869368377173</v>
      </c>
      <c r="L3" s="29">
        <f t="shared" si="0"/>
        <v>1619.5742012480637</v>
      </c>
      <c r="M3" s="45">
        <f>L3*(1+M2)</f>
        <v>1685.9767434992341</v>
      </c>
    </row>
    <row r="4" spans="1:14">
      <c r="A4" s="3" t="s">
        <v>350</v>
      </c>
      <c r="B4" s="21">
        <f>B5/B3</f>
        <v>0.19873723735308491</v>
      </c>
      <c r="C4" s="21">
        <f>'Input Sheet'!$B$24-(('Input Sheet'!$B$24-$B$4)/10)*(10-C1)</f>
        <v>0.19986351361777641</v>
      </c>
      <c r="D4" s="21">
        <f>'Input Sheet'!$B$24-(('Input Sheet'!$B$24-$B$4)/10)*(10-D1)</f>
        <v>0.20098978988246793</v>
      </c>
      <c r="E4" s="21">
        <f>'Input Sheet'!$B$24-(('Input Sheet'!$B$24-$B$4)/10)*(10-E1)</f>
        <v>0.20211606614715943</v>
      </c>
      <c r="F4" s="21">
        <f>'Input Sheet'!$B$24-(('Input Sheet'!$B$24-$B$4)/10)*(10-F1)</f>
        <v>0.20324234241185093</v>
      </c>
      <c r="G4" s="21">
        <f>'Input Sheet'!$B$24-(('Input Sheet'!$B$24-$B$4)/10)*(10-G1)</f>
        <v>0.20436861867654244</v>
      </c>
      <c r="H4" s="21">
        <f>'Input Sheet'!$B$24-(('Input Sheet'!$B$24-$B$4)/10)*(10-H1)</f>
        <v>0.20549489494123396</v>
      </c>
      <c r="I4" s="21">
        <f>'Input Sheet'!$B$24-(('Input Sheet'!$B$24-$B$4)/10)*(10-I1)</f>
        <v>0.20662117120592546</v>
      </c>
      <c r="J4" s="21">
        <f>'Input Sheet'!$B$24-(('Input Sheet'!$B$24-$B$4)/10)*(10-J1)</f>
        <v>0.20774744747061696</v>
      </c>
      <c r="K4" s="21">
        <f>'Input Sheet'!$B$24-(('Input Sheet'!$B$24-$B$4)/10)*(10-K1)</f>
        <v>0.20887372373530849</v>
      </c>
      <c r="L4" s="21">
        <f>'Input Sheet'!$B$24-(('Input Sheet'!$B$24-$B$4)/10)*(10-L1)</f>
        <v>0.21</v>
      </c>
      <c r="M4" s="21">
        <f>L4</f>
        <v>0.21</v>
      </c>
    </row>
    <row r="5" spans="1:14">
      <c r="A5" s="3" t="s">
        <v>351</v>
      </c>
      <c r="B5" s="30">
        <f>IF('Input Sheet'!B14="Yes",IF('Input Sheet'!B13="Yes",'Input Sheet'!B9+'Operating lease converter'!F32+'R&amp; D converter'!D39,'Input Sheet'!B9+'Operating lease converter'!F32),IF('Input Sheet'!B13="Yes",'Input Sheet'!B9+'R&amp; D converter'!D39,'Input Sheet'!B9))</f>
        <v>154.55000000000001</v>
      </c>
      <c r="C5" s="30">
        <f t="shared" ref="C5:M5" si="1">C4*C3</f>
        <v>166.30567020000001</v>
      </c>
      <c r="D5" s="30">
        <f t="shared" si="1"/>
        <v>178.94983922800003</v>
      </c>
      <c r="E5" s="30">
        <f t="shared" si="1"/>
        <v>197.94787247620005</v>
      </c>
      <c r="F5" s="30">
        <f t="shared" si="1"/>
        <v>218.95601398176007</v>
      </c>
      <c r="G5" s="30">
        <f t="shared" si="1"/>
        <v>242.18630506367006</v>
      </c>
      <c r="H5" s="30">
        <f t="shared" si="1"/>
        <v>264.99954648412512</v>
      </c>
      <c r="I5" s="30">
        <f t="shared" si="1"/>
        <v>286.80888522092891</v>
      </c>
      <c r="J5" s="30">
        <f t="shared" si="1"/>
        <v>307.00110651231552</v>
      </c>
      <c r="K5" s="30">
        <f t="shared" si="1"/>
        <v>324.96301083604322</v>
      </c>
      <c r="L5" s="30">
        <f t="shared" si="1"/>
        <v>340.11058226209337</v>
      </c>
      <c r="M5" s="30">
        <f t="shared" si="1"/>
        <v>354.05511613483912</v>
      </c>
      <c r="N5" s="46">
        <f>M5-B5</f>
        <v>199.50511613483911</v>
      </c>
    </row>
    <row r="6" spans="1:14">
      <c r="A6" s="3" t="s">
        <v>352</v>
      </c>
      <c r="B6" s="21">
        <f>'Input Sheet'!B20</f>
        <v>0.28393056542482992</v>
      </c>
      <c r="C6" s="21">
        <f>B6</f>
        <v>0.28393056542482992</v>
      </c>
      <c r="D6" s="21">
        <f>C6</f>
        <v>0.28393056542482992</v>
      </c>
      <c r="E6" s="21">
        <f>D6</f>
        <v>0.28393056542482992</v>
      </c>
      <c r="F6" s="21">
        <f>E6</f>
        <v>0.28393056542482992</v>
      </c>
      <c r="G6" s="21">
        <f>F6</f>
        <v>0.28393056542482992</v>
      </c>
      <c r="H6" s="21">
        <f>G6+($M$6-$G$6)/5</f>
        <v>0.27714445233986396</v>
      </c>
      <c r="I6" s="21">
        <f>H6+($M$6-$G$6)/5</f>
        <v>0.27035833925489799</v>
      </c>
      <c r="J6" s="21">
        <f>I6+($M$6-$G$6)/5</f>
        <v>0.26357222616993203</v>
      </c>
      <c r="K6" s="21">
        <f>J6+($M$6-$G$6)/5</f>
        <v>0.25678611308496607</v>
      </c>
      <c r="L6" s="21">
        <f>K6+($M$6-$G$6)/5</f>
        <v>0.25000000000000011</v>
      </c>
      <c r="M6" s="21">
        <f>IF('Input Sheet'!B49="Yes",'Input Sheet'!B20,'Input Sheet'!B21)</f>
        <v>0.25</v>
      </c>
    </row>
    <row r="7" spans="1:14">
      <c r="A7" s="3" t="s">
        <v>353</v>
      </c>
      <c r="B7" s="29">
        <f>IF(B5&gt;0,B5*(1-B6),B5)</f>
        <v>110.66853111359255</v>
      </c>
      <c r="C7" s="29">
        <f>IF(C5&gt;0,IF(C5&lt;B10,C5,C5-(C5-B10)*C6),C5)</f>
        <v>119.08640722675872</v>
      </c>
      <c r="D7" s="29">
        <f t="shared" ref="D7:L7" si="2">IF(D5&gt;0,IF(D5&lt;C10,D5,D5-(D5-C10)*D6),D5)</f>
        <v>128.14051019331157</v>
      </c>
      <c r="E7" s="29">
        <f t="shared" si="2"/>
        <v>141.74442111939044</v>
      </c>
      <c r="F7" s="29">
        <f t="shared" si="2"/>
        <v>156.78770912875197</v>
      </c>
      <c r="G7" s="29">
        <f t="shared" si="2"/>
        <v>173.42221052879188</v>
      </c>
      <c r="H7" s="29">
        <f t="shared" si="2"/>
        <v>191.55639230346995</v>
      </c>
      <c r="I7" s="29">
        <f t="shared" si="2"/>
        <v>209.26771132904992</v>
      </c>
      <c r="J7" s="29">
        <f t="shared" si="2"/>
        <v>226.08414143223212</v>
      </c>
      <c r="K7" s="29">
        <f t="shared" si="2"/>
        <v>241.51702238706798</v>
      </c>
      <c r="L7" s="29">
        <f t="shared" si="2"/>
        <v>255.08293669656999</v>
      </c>
      <c r="M7" s="29">
        <f>M5*(1-M6)</f>
        <v>265.54133710112933</v>
      </c>
    </row>
    <row r="8" spans="1:14">
      <c r="A8" s="3" t="s">
        <v>354</v>
      </c>
      <c r="B8" s="47"/>
      <c r="C8" s="29">
        <f t="shared" ref="C8:L8" si="3">(C3-B3)/C38</f>
        <v>31.106400000000058</v>
      </c>
      <c r="D8" s="29">
        <f t="shared" si="3"/>
        <v>33.283848000000035</v>
      </c>
      <c r="E8" s="29">
        <f t="shared" si="3"/>
        <v>59.356195600000092</v>
      </c>
      <c r="F8" s="29">
        <f t="shared" si="3"/>
        <v>65.291815160000013</v>
      </c>
      <c r="G8" s="29">
        <f t="shared" si="3"/>
        <v>71.82099667600005</v>
      </c>
      <c r="H8" s="29">
        <f t="shared" si="3"/>
        <v>69.680730975055212</v>
      </c>
      <c r="I8" s="29">
        <f t="shared" si="3"/>
        <v>65.681973453004659</v>
      </c>
      <c r="J8" s="29">
        <f t="shared" si="3"/>
        <v>59.780430944018313</v>
      </c>
      <c r="K8" s="29">
        <f t="shared" si="3"/>
        <v>52.017192417066475</v>
      </c>
      <c r="L8" s="29">
        <f t="shared" si="3"/>
        <v>42.524842940230883</v>
      </c>
      <c r="M8" s="29">
        <f>(M2/M40)*M7</f>
        <v>98.08283622654325</v>
      </c>
      <c r="N8" s="46">
        <f>SUM(C8:M8)</f>
        <v>648.62726239191909</v>
      </c>
    </row>
    <row r="9" spans="1:14">
      <c r="A9" s="3" t="s">
        <v>355</v>
      </c>
      <c r="B9" s="47"/>
      <c r="C9" s="29">
        <f t="shared" ref="C9:L9" si="4">C7-C8</f>
        <v>87.980007226758659</v>
      </c>
      <c r="D9" s="29">
        <f t="shared" si="4"/>
        <v>94.856662193311536</v>
      </c>
      <c r="E9" s="29">
        <f t="shared" si="4"/>
        <v>82.388225519390346</v>
      </c>
      <c r="F9" s="29">
        <f t="shared" si="4"/>
        <v>91.495893968751957</v>
      </c>
      <c r="G9" s="29">
        <f t="shared" si="4"/>
        <v>101.60121385279183</v>
      </c>
      <c r="H9" s="29">
        <f t="shared" si="4"/>
        <v>121.87566132841474</v>
      </c>
      <c r="I9" s="29">
        <f t="shared" si="4"/>
        <v>143.58573787604524</v>
      </c>
      <c r="J9" s="29">
        <f t="shared" si="4"/>
        <v>166.3037104882138</v>
      </c>
      <c r="K9" s="29">
        <f t="shared" si="4"/>
        <v>189.49982997000151</v>
      </c>
      <c r="L9" s="29">
        <f t="shared" si="4"/>
        <v>212.5580937563391</v>
      </c>
      <c r="M9" s="29">
        <f>M7-M8</f>
        <v>167.45850087458609</v>
      </c>
    </row>
    <row r="10" spans="1:14">
      <c r="A10" s="3" t="s">
        <v>356</v>
      </c>
      <c r="B10" s="29">
        <f>IF('Input Sheet'!B51="Yes",'Input Sheet'!B52,0)</f>
        <v>0</v>
      </c>
      <c r="C10" s="29">
        <f t="shared" ref="C10:M10" si="5">IF(C5&lt;0,B10-C5,IF(B10&gt;C5,B10-C5,0))</f>
        <v>0</v>
      </c>
      <c r="D10" s="29">
        <f t="shared" si="5"/>
        <v>0</v>
      </c>
      <c r="E10" s="29">
        <f t="shared" si="5"/>
        <v>0</v>
      </c>
      <c r="F10" s="29">
        <f t="shared" si="5"/>
        <v>0</v>
      </c>
      <c r="G10" s="29">
        <f t="shared" si="5"/>
        <v>0</v>
      </c>
      <c r="H10" s="29">
        <f t="shared" si="5"/>
        <v>0</v>
      </c>
      <c r="I10" s="29">
        <f t="shared" si="5"/>
        <v>0</v>
      </c>
      <c r="J10" s="29">
        <f t="shared" si="5"/>
        <v>0</v>
      </c>
      <c r="K10" s="29">
        <f t="shared" si="5"/>
        <v>0</v>
      </c>
      <c r="L10" s="29">
        <f t="shared" si="5"/>
        <v>0</v>
      </c>
      <c r="M10" s="29">
        <f t="shared" si="5"/>
        <v>0</v>
      </c>
    </row>
    <row r="12" spans="1:14">
      <c r="A12" s="3" t="s">
        <v>357</v>
      </c>
      <c r="C12" s="21">
        <f>'Input Sheet'!B28</f>
        <v>8.4249239453989225E-2</v>
      </c>
      <c r="D12" s="21">
        <f>C12</f>
        <v>8.4249239453989225E-2</v>
      </c>
      <c r="E12" s="21">
        <f>D12</f>
        <v>8.4249239453989225E-2</v>
      </c>
      <c r="F12" s="21">
        <f>E12</f>
        <v>8.4249239453989225E-2</v>
      </c>
      <c r="G12" s="21">
        <f>F12</f>
        <v>8.4249239453989225E-2</v>
      </c>
      <c r="H12" s="21">
        <f>G12-($G$12-$M$12)/5</f>
        <v>8.4599391563191378E-2</v>
      </c>
      <c r="I12" s="21">
        <f>H12-($G$12-$M$12)/5</f>
        <v>8.4949543672393532E-2</v>
      </c>
      <c r="J12" s="21">
        <f>I12-($G$12-$M$12)/5</f>
        <v>8.5299695781595686E-2</v>
      </c>
      <c r="K12" s="21">
        <f>J12-($G$12-$M$12)/5</f>
        <v>8.5649847890797839E-2</v>
      </c>
      <c r="L12" s="21">
        <f>K12-($G$12-$M$12)/5</f>
        <v>8.5999999999999993E-2</v>
      </c>
      <c r="M12" s="21">
        <f>IF('Input Sheet'!B38="Yes",'Input Sheet'!B39,'Input Sheet'!B27+0.045)</f>
        <v>8.5999999999999993E-2</v>
      </c>
    </row>
    <row r="13" spans="1:14">
      <c r="A13" s="3" t="s">
        <v>358</v>
      </c>
      <c r="C13" s="48">
        <f>1/(1+C12)</f>
        <v>0.92229716527501016</v>
      </c>
      <c r="D13" s="48">
        <f>C13*(1/(1+D12))</f>
        <v>0.85063206107431943</v>
      </c>
      <c r="E13" s="48">
        <f t="shared" ref="E13:L13" si="6">D13*(1/(1+E12))</f>
        <v>0.7845355386208841</v>
      </c>
      <c r="F13" s="48">
        <f t="shared" si="6"/>
        <v>0.72357490332754471</v>
      </c>
      <c r="G13" s="48">
        <f t="shared" si="6"/>
        <v>0.66735108220313399</v>
      </c>
      <c r="H13" s="48">
        <f t="shared" si="6"/>
        <v>0.61529730460322918</v>
      </c>
      <c r="I13" s="48">
        <f t="shared" si="6"/>
        <v>0.56712066306838471</v>
      </c>
      <c r="J13" s="48">
        <f t="shared" si="6"/>
        <v>0.52254751869248783</v>
      </c>
      <c r="K13" s="48">
        <f t="shared" si="6"/>
        <v>0.4813223339990273</v>
      </c>
      <c r="L13" s="48">
        <f t="shared" si="6"/>
        <v>0.44320656905987782</v>
      </c>
    </row>
    <row r="14" spans="1:14">
      <c r="A14" s="3" t="s">
        <v>359</v>
      </c>
      <c r="C14" s="29">
        <f t="shared" ref="C14:L14" si="7">C9*C13</f>
        <v>81.143711266114423</v>
      </c>
      <c r="D14" s="29">
        <f t="shared" si="7"/>
        <v>80.688118068127068</v>
      </c>
      <c r="E14" s="29">
        <f t="shared" si="7"/>
        <v>64.636490883873776</v>
      </c>
      <c r="F14" s="29">
        <f t="shared" si="7"/>
        <v>66.204132633306983</v>
      </c>
      <c r="G14" s="29">
        <f t="shared" si="7"/>
        <v>67.803680017812681</v>
      </c>
      <c r="H14" s="29">
        <f t="shared" si="7"/>
        <v>74.989765912109604</v>
      </c>
      <c r="I14" s="29">
        <f t="shared" si="7"/>
        <v>81.430438871426063</v>
      </c>
      <c r="J14" s="29">
        <f t="shared" si="7"/>
        <v>86.90159126496998</v>
      </c>
      <c r="K14" s="29">
        <f t="shared" si="7"/>
        <v>91.210500453579954</v>
      </c>
      <c r="L14" s="29">
        <f t="shared" si="7"/>
        <v>94.207143459654887</v>
      </c>
    </row>
    <row r="16" spans="1:14">
      <c r="A16" s="13" t="s">
        <v>360</v>
      </c>
      <c r="B16" s="29">
        <f>M9</f>
        <v>167.45850087458609</v>
      </c>
    </row>
    <row r="17" spans="1:2">
      <c r="A17" s="3" t="s">
        <v>361</v>
      </c>
      <c r="B17" s="21">
        <f>M12</f>
        <v>8.5999999999999993E-2</v>
      </c>
    </row>
    <row r="18" spans="1:2">
      <c r="A18" s="3" t="s">
        <v>362</v>
      </c>
      <c r="B18" s="29">
        <f>B16/(B17-'Input Sheet'!B27)</f>
        <v>3721.3000194352471</v>
      </c>
    </row>
    <row r="19" spans="1:2">
      <c r="A19" s="3" t="s">
        <v>363</v>
      </c>
      <c r="B19" s="29">
        <f>B18*L13</f>
        <v>1649.3046140563524</v>
      </c>
    </row>
    <row r="20" spans="1:2">
      <c r="A20" s="3" t="s">
        <v>364</v>
      </c>
      <c r="B20" s="29">
        <f>SUM(C14:L14)</f>
        <v>789.21557283097525</v>
      </c>
    </row>
    <row r="21" spans="1:2">
      <c r="A21" s="3" t="s">
        <v>365</v>
      </c>
      <c r="B21" s="29">
        <f>B19+B20</f>
        <v>2438.5201868873278</v>
      </c>
    </row>
    <row r="22" spans="1:2">
      <c r="A22" s="3" t="s">
        <v>366</v>
      </c>
      <c r="B22" s="21">
        <f>IF('Input Sheet'!B44="Yes",'Input Sheet'!B45,0)</f>
        <v>0</v>
      </c>
    </row>
    <row r="23" spans="1:2">
      <c r="A23" s="3" t="s">
        <v>367</v>
      </c>
      <c r="B23" s="29">
        <f>IF('Input Sheet'!B46="B",('Input Sheet'!B11+'Input Sheet'!B12)*'Input Sheet'!B47,'Valuation Output'!B21*'Input Sheet'!B47)</f>
        <v>393.19500000000005</v>
      </c>
    </row>
    <row r="24" spans="1:2">
      <c r="A24" s="3" t="s">
        <v>368</v>
      </c>
      <c r="B24" s="29">
        <f>B21*(1-B22)+B23*B22</f>
        <v>2438.5201868873278</v>
      </c>
    </row>
    <row r="25" spans="1:2">
      <c r="A25" s="3" t="s">
        <v>369</v>
      </c>
      <c r="B25" s="29">
        <f>IF('Input Sheet'!B14="Yes",'Input Sheet'!B12+'Operating lease converter'!C28,'Input Sheet'!B12)+'Input Sheet'!F16</f>
        <v>198.45</v>
      </c>
    </row>
    <row r="26" spans="1:2">
      <c r="A26" s="3" t="s">
        <v>370</v>
      </c>
      <c r="B26" s="29">
        <f>'Input Sheet'!B17</f>
        <v>19.12</v>
      </c>
    </row>
    <row r="27" spans="1:2">
      <c r="A27" s="3" t="s">
        <v>371</v>
      </c>
      <c r="B27" s="29">
        <f>IF('Input Sheet'!B54="YES",'Input Sheet'!B15-'Input Sheet'!B55*('Input Sheet'!B21-'Input Sheet'!B56),'Input Sheet'!B15)</f>
        <v>24.99</v>
      </c>
    </row>
    <row r="28" spans="1:2">
      <c r="A28" s="3" t="s">
        <v>372</v>
      </c>
      <c r="B28" s="29">
        <f>'Input Sheet'!B16</f>
        <v>0</v>
      </c>
    </row>
    <row r="29" spans="1:2">
      <c r="A29" s="3" t="s">
        <v>373</v>
      </c>
      <c r="B29" s="29">
        <f>B24-B25-B26+B27+B28</f>
        <v>2245.9401868873279</v>
      </c>
    </row>
    <row r="30" spans="1:2">
      <c r="A30" s="3" t="s">
        <v>374</v>
      </c>
      <c r="B30" s="29">
        <f>IF('Input Sheet'!B30="No",0,'Option value'!D27)</f>
        <v>0</v>
      </c>
    </row>
    <row r="31" spans="1:2">
      <c r="A31" s="3" t="s">
        <v>375</v>
      </c>
      <c r="B31" s="29">
        <f>B29-B30</f>
        <v>2245.9401868873279</v>
      </c>
    </row>
    <row r="32" spans="1:2">
      <c r="A32" s="3" t="s">
        <v>376</v>
      </c>
      <c r="B32" s="23">
        <f>'Input Sheet'!B18</f>
        <v>15.53</v>
      </c>
    </row>
    <row r="33" spans="1:13">
      <c r="A33" s="3" t="s">
        <v>377</v>
      </c>
      <c r="B33" s="51">
        <f>B31/B32</f>
        <v>144.61945826705266</v>
      </c>
    </row>
    <row r="34" spans="1:13">
      <c r="A34" s="3" t="s">
        <v>378</v>
      </c>
      <c r="B34" s="29">
        <f>'Input Sheet'!B19</f>
        <v>221.1</v>
      </c>
    </row>
    <row r="35" spans="1:13">
      <c r="A35" s="27" t="s">
        <v>379</v>
      </c>
      <c r="B35" s="49">
        <f>B34/B33</f>
        <v>1.5288399130338273</v>
      </c>
      <c r="D35" s="50">
        <f>(B33-B34)/B34</f>
        <v>-0.34590927966054874</v>
      </c>
      <c r="E35" s="3" t="str">
        <f>IF(D35&gt;0,"upside","downside")</f>
        <v>downside</v>
      </c>
    </row>
    <row r="37" spans="1:13">
      <c r="A37" s="13" t="s">
        <v>380</v>
      </c>
      <c r="B37" s="13"/>
      <c r="M37" s="3" t="s">
        <v>598</v>
      </c>
    </row>
    <row r="38" spans="1:13">
      <c r="A38" s="3" t="s">
        <v>381</v>
      </c>
      <c r="C38" s="23">
        <f>'Input Sheet'!B25</f>
        <v>1.75</v>
      </c>
      <c r="D38" s="23">
        <f t="shared" ref="D38:L38" si="8">C38</f>
        <v>1.75</v>
      </c>
      <c r="E38" s="23">
        <f>'Input Sheet'!C25</f>
        <v>1.5</v>
      </c>
      <c r="F38" s="23">
        <f t="shared" si="8"/>
        <v>1.5</v>
      </c>
      <c r="G38" s="23">
        <f t="shared" si="8"/>
        <v>1.5</v>
      </c>
      <c r="H38" s="23">
        <f t="shared" si="8"/>
        <v>1.5</v>
      </c>
      <c r="I38" s="23">
        <f t="shared" si="8"/>
        <v>1.5</v>
      </c>
      <c r="J38" s="23">
        <f t="shared" si="8"/>
        <v>1.5</v>
      </c>
      <c r="K38" s="23">
        <f t="shared" si="8"/>
        <v>1.5</v>
      </c>
      <c r="L38" s="23">
        <f t="shared" si="8"/>
        <v>1.5</v>
      </c>
    </row>
    <row r="39" spans="1:13">
      <c r="A39" s="3" t="s">
        <v>382</v>
      </c>
      <c r="B39" s="30">
        <f>IF('Input Sheet'!B14="Yes",IF('Input Sheet'!B13="Yes",'Input Sheet'!B11+'Input Sheet'!B12-'Input Sheet'!B15+'Operating lease converter'!F33+'R&amp; D converter'!D35,'Input Sheet'!B11+'Input Sheet'!B12-'Input Sheet'!B15+'Operating lease converter'!F33),IF('Input Sheet'!B13="Yes",'Input Sheet'!B11+'Input Sheet'!B12-'Input Sheet'!B15+'R&amp; D converter'!D35,'Input Sheet'!B11+'Input Sheet'!B12-'Input Sheet'!B15))</f>
        <v>761.40000000000009</v>
      </c>
      <c r="C39" s="29">
        <f t="shared" ref="C39:L39" si="9">B39+C8</f>
        <v>792.5064000000001</v>
      </c>
      <c r="D39" s="29">
        <f t="shared" si="9"/>
        <v>825.79024800000013</v>
      </c>
      <c r="E39" s="29">
        <f t="shared" si="9"/>
        <v>885.14644360000023</v>
      </c>
      <c r="F39" s="29">
        <f t="shared" si="9"/>
        <v>950.43825876000028</v>
      </c>
      <c r="G39" s="29">
        <f t="shared" si="9"/>
        <v>1022.2592554360003</v>
      </c>
      <c r="H39" s="29">
        <f t="shared" si="9"/>
        <v>1091.9399864110555</v>
      </c>
      <c r="I39" s="29">
        <f t="shared" si="9"/>
        <v>1157.6219598640603</v>
      </c>
      <c r="J39" s="29">
        <f t="shared" si="9"/>
        <v>1217.4023908080785</v>
      </c>
      <c r="K39" s="29">
        <f t="shared" si="9"/>
        <v>1269.4195832251451</v>
      </c>
      <c r="L39" s="29">
        <f t="shared" si="9"/>
        <v>1311.9444261653759</v>
      </c>
    </row>
    <row r="40" spans="1:13">
      <c r="A40" s="3" t="s">
        <v>383</v>
      </c>
      <c r="B40" s="28">
        <f t="shared" ref="B40:L40" si="10">B7/B39</f>
        <v>0.14534874062725575</v>
      </c>
      <c r="C40" s="28">
        <f t="shared" si="10"/>
        <v>0.15026554640663939</v>
      </c>
      <c r="D40" s="28">
        <f t="shared" si="10"/>
        <v>0.15517319380273373</v>
      </c>
      <c r="E40" s="28">
        <f t="shared" si="10"/>
        <v>0.1601366894080242</v>
      </c>
      <c r="F40" s="28">
        <f t="shared" si="10"/>
        <v>0.16496359198892813</v>
      </c>
      <c r="G40" s="28">
        <f t="shared" si="10"/>
        <v>0.16964601651351757</v>
      </c>
      <c r="H40" s="28">
        <f t="shared" si="10"/>
        <v>0.17542758273105263</v>
      </c>
      <c r="I40" s="28">
        <f t="shared" si="10"/>
        <v>0.18077379194985577</v>
      </c>
      <c r="J40" s="28">
        <f t="shared" si="10"/>
        <v>0.18571028210496912</v>
      </c>
      <c r="K40" s="28">
        <f t="shared" si="10"/>
        <v>0.19025783561134205</v>
      </c>
      <c r="L40" s="28">
        <f t="shared" si="10"/>
        <v>0.19443120578067516</v>
      </c>
      <c r="M40" s="28">
        <f>IF('Input Sheet'!B41="Yes",'Input Sheet'!B42,'Valuation Output'!L12)</f>
        <v>0.111</v>
      </c>
    </row>
  </sheetData>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366E8-3839-44BD-870B-1E33A5D87A7F}">
  <sheetPr>
    <tabColor theme="4" tint="0.39997558519241921"/>
  </sheetPr>
  <dimension ref="A4:X104"/>
  <sheetViews>
    <sheetView workbookViewId="0">
      <selection activeCell="K51" sqref="K51"/>
    </sheetView>
  </sheetViews>
  <sheetFormatPr defaultRowHeight="15"/>
  <cols>
    <col min="1" max="1" width="9.140625" style="3"/>
    <col min="2" max="2" width="16.5703125" style="3" customWidth="1"/>
    <col min="3" max="3" width="15.85546875" style="3" customWidth="1"/>
    <col min="4" max="4" width="10.85546875" style="3" customWidth="1"/>
    <col min="5" max="5" width="10.5703125" style="3" customWidth="1"/>
    <col min="6" max="8" width="9.28515625" style="3" bestFit="1" customWidth="1"/>
    <col min="9" max="9" width="11.42578125" style="3" bestFit="1" customWidth="1"/>
    <col min="10" max="10" width="9.28515625" style="3" bestFit="1" customWidth="1"/>
    <col min="11" max="11" width="12.5703125" style="3" customWidth="1"/>
    <col min="12" max="13" width="9.28515625" style="3" bestFit="1" customWidth="1"/>
    <col min="14" max="17" width="9.140625" style="3"/>
    <col min="18" max="18" width="16.42578125" style="3" customWidth="1"/>
    <col min="19" max="21" width="9.140625" style="3"/>
    <col min="22" max="22" width="9.42578125" style="3" bestFit="1" customWidth="1"/>
    <col min="23" max="23" width="17" style="3" bestFit="1" customWidth="1"/>
    <col min="24" max="24" width="20.5703125" style="3" bestFit="1" customWidth="1"/>
    <col min="25" max="16384" width="9.140625" style="3"/>
  </cols>
  <sheetData>
    <row r="4" spans="16:24">
      <c r="Q4" s="3" t="s">
        <v>628</v>
      </c>
    </row>
    <row r="5" spans="16:24">
      <c r="S5" s="3" t="s">
        <v>630</v>
      </c>
      <c r="T5" s="3" t="s">
        <v>631</v>
      </c>
    </row>
    <row r="6" spans="16:24">
      <c r="Q6" s="1" t="s">
        <v>629</v>
      </c>
      <c r="S6" s="52" t="str">
        <f>IF(V7&gt;W7,"Yes","No")</f>
        <v>No</v>
      </c>
      <c r="T6" s="52" t="str">
        <f>IF(V7&gt;X7,"Yes","No")</f>
        <v>No</v>
      </c>
      <c r="V6" s="3" t="str">
        <f>'Input Sheet'!I21</f>
        <v>Company</v>
      </c>
      <c r="W6" s="3" t="str">
        <f>'Input Sheet'!J21</f>
        <v>Industry (US data)</v>
      </c>
      <c r="X6" s="3" t="str">
        <f>'Input Sheet'!K21</f>
        <v>Industry (Global data)</v>
      </c>
    </row>
    <row r="7" spans="16:24">
      <c r="Q7" s="3" t="str">
        <f>'Input Sheet'!E22</f>
        <v>Revenue growth in the most recent year =</v>
      </c>
      <c r="V7" s="53">
        <f>'Input Sheet'!I22</f>
        <v>3.4912911598313334E-2</v>
      </c>
      <c r="W7" s="53">
        <f>'Input Sheet'!J22</f>
        <v>6.4077647058823517E-2</v>
      </c>
      <c r="X7" s="53">
        <f>'Input Sheet'!K22</f>
        <v>6.0341779661016975E-2</v>
      </c>
    </row>
    <row r="9" spans="16:24">
      <c r="Q9" s="1" t="s">
        <v>632</v>
      </c>
      <c r="S9" s="52" t="str">
        <f>IF(V10&lt;W10,"Yes","No")</f>
        <v>Yes</v>
      </c>
      <c r="T9" s="52" t="str">
        <f>IF(V10&lt;X10,"Yes","No")</f>
        <v>Yes</v>
      </c>
    </row>
    <row r="10" spans="16:24">
      <c r="Q10" s="3" t="s">
        <v>633</v>
      </c>
      <c r="V10" s="53">
        <f>'Valuation Output'!M12</f>
        <v>8.5999999999999993E-2</v>
      </c>
      <c r="W10" s="53">
        <f>'Input Sheet'!J27</f>
        <v>9.0005822872010727E-2</v>
      </c>
      <c r="X10" s="53">
        <f>'Input Sheet'!K27</f>
        <v>9.4796723499457378E-2</v>
      </c>
    </row>
    <row r="12" spans="16:24">
      <c r="P12" s="9" t="s">
        <v>634</v>
      </c>
    </row>
    <row r="14" spans="16:24">
      <c r="Q14" s="1" t="s">
        <v>635</v>
      </c>
      <c r="S14" s="52" t="str">
        <f>IF(V15&lt;W15,"Yes","No")</f>
        <v>Yes</v>
      </c>
      <c r="T14" s="52" t="str">
        <f>IF(V15&lt;X15,"Yes","No")</f>
        <v>Yes</v>
      </c>
    </row>
    <row r="15" spans="16:24">
      <c r="Q15" s="3" t="str">
        <f>'Input Sheet'!A25</f>
        <v>Sales to capital ratio  (for computing reinvestment) =</v>
      </c>
      <c r="V15" s="54">
        <f>'Input Sheet'!B25</f>
        <v>1.75</v>
      </c>
      <c r="W15" s="54">
        <f>'Input Sheet'!J24</f>
        <v>2.2882186586804418</v>
      </c>
      <c r="X15" s="54">
        <f>'Input Sheet'!K24</f>
        <v>1.8434295701551509</v>
      </c>
    </row>
    <row r="16" spans="16:24">
      <c r="P16" s="9" t="s">
        <v>638</v>
      </c>
    </row>
    <row r="17" spans="1:20">
      <c r="Q17" s="1" t="s">
        <v>636</v>
      </c>
      <c r="S17" s="52" t="str">
        <f>IF(V15&gt;W15,"Yes","No")</f>
        <v>No</v>
      </c>
      <c r="T17" s="52" t="str">
        <f>IF(V15&gt;X15,"Yes","No")</f>
        <v>No</v>
      </c>
    </row>
    <row r="18" spans="1:20">
      <c r="P18" s="9" t="s">
        <v>637</v>
      </c>
    </row>
    <row r="19" spans="1:20">
      <c r="P19" s="9" t="s">
        <v>648</v>
      </c>
    </row>
    <row r="20" spans="1:20">
      <c r="P20" s="9" t="s">
        <v>649</v>
      </c>
    </row>
    <row r="27" spans="1:20">
      <c r="A27" s="3" t="s">
        <v>618</v>
      </c>
      <c r="C27" s="55">
        <f>'Valuation Output'!M3</f>
        <v>1685.9767434992341</v>
      </c>
      <c r="E27" s="9" t="s">
        <v>621</v>
      </c>
    </row>
    <row r="28" spans="1:20">
      <c r="A28" s="3" t="s">
        <v>619</v>
      </c>
      <c r="C28" s="53">
        <f>'Valuation Output'!M2</f>
        <v>4.0999999999999995E-2</v>
      </c>
      <c r="E28" s="9" t="s">
        <v>620</v>
      </c>
    </row>
    <row r="29" spans="1:20">
      <c r="A29" s="12" t="s">
        <v>623</v>
      </c>
      <c r="B29" s="13"/>
      <c r="C29" s="13"/>
      <c r="D29" s="13"/>
      <c r="E29" s="13"/>
      <c r="F29" s="13"/>
      <c r="G29" s="13"/>
      <c r="H29" s="13"/>
      <c r="I29" s="13"/>
      <c r="J29" s="13"/>
      <c r="K29" s="13"/>
      <c r="L29" s="14"/>
    </row>
    <row r="30" spans="1:20">
      <c r="A30" s="16"/>
      <c r="B30" s="56">
        <f>('Valuation Output'!C7-'Valuation Output'!B7)/'Valuation Output'!B7</f>
        <v>7.606386412164344E-2</v>
      </c>
      <c r="C30" s="56">
        <f>('Valuation Output'!D7-'Valuation Output'!C7)/'Valuation Output'!C7</f>
        <v>7.6029692870929019E-2</v>
      </c>
      <c r="D30" s="56">
        <f>('Valuation Output'!E7-'Valuation Output'!D7)/'Valuation Output'!D7</f>
        <v>0.10616401406203343</v>
      </c>
      <c r="E30" s="56">
        <f>('Valuation Output'!F7-'Valuation Output'!E7)/'Valuation Output'!E7</f>
        <v>0.10612966556680679</v>
      </c>
      <c r="F30" s="56">
        <f>('Valuation Output'!G7-'Valuation Output'!F7)/'Valuation Output'!F7</f>
        <v>0.10609569775893517</v>
      </c>
      <c r="G30" s="56">
        <f>('Valuation Output'!H7-'Valuation Output'!G7)/'Valuation Output'!G7</f>
        <v>0.10456666259404759</v>
      </c>
      <c r="H30" s="56">
        <f>('Valuation Output'!I7-'Valuation Output'!H7)/'Valuation Output'!H7</f>
        <v>9.2460078270429694E-2</v>
      </c>
      <c r="I30" s="56">
        <f>('Valuation Output'!J7-'Valuation Output'!I7)/'Valuation Output'!I7</f>
        <v>8.035845566610253E-2</v>
      </c>
      <c r="J30" s="56">
        <f>('Valuation Output'!K7-'Valuation Output'!J7)/'Valuation Output'!J7</f>
        <v>6.8261669558374649E-2</v>
      </c>
      <c r="K30" s="56">
        <f>('Valuation Output'!L7-'Valuation Output'!K7)/'Valuation Output'!K7</f>
        <v>5.6169599042839108E-2</v>
      </c>
      <c r="L30" s="57">
        <f>('Valuation Output'!M7-'Valuation Output'!L7)/'Valuation Output'!L7</f>
        <v>4.0999999999999891E-2</v>
      </c>
      <c r="M30" s="58"/>
    </row>
    <row r="31" spans="1:20">
      <c r="A31" s="16" t="s">
        <v>622</v>
      </c>
      <c r="L31" s="17"/>
    </row>
    <row r="32" spans="1:20">
      <c r="A32" s="16"/>
      <c r="B32" s="53">
        <f>'Valuation Output'!C2</f>
        <v>7.0000000000000007E-2</v>
      </c>
      <c r="C32" s="53">
        <f>'Valuation Output'!D2</f>
        <v>7.0000000000000007E-2</v>
      </c>
      <c r="D32" s="53">
        <f>'Valuation Output'!E2</f>
        <v>0.1</v>
      </c>
      <c r="E32" s="53">
        <f>'Valuation Output'!F2</f>
        <v>0.1</v>
      </c>
      <c r="F32" s="53">
        <f>'Valuation Output'!G2</f>
        <v>0.1</v>
      </c>
      <c r="G32" s="53">
        <f>'Valuation Output'!H2</f>
        <v>8.8200000000000001E-2</v>
      </c>
      <c r="H32" s="53">
        <f>'Valuation Output'!I2</f>
        <v>7.6399999999999996E-2</v>
      </c>
      <c r="I32" s="53">
        <f>'Valuation Output'!J2</f>
        <v>6.4600000000000005E-2</v>
      </c>
      <c r="J32" s="53">
        <f>'Valuation Output'!K2</f>
        <v>5.28E-2</v>
      </c>
      <c r="K32" s="53">
        <f>'Valuation Output'!L2</f>
        <v>4.0999999999999995E-2</v>
      </c>
      <c r="L32" s="59">
        <f>'Valuation Output'!M2</f>
        <v>4.0999999999999995E-2</v>
      </c>
    </row>
    <row r="33" spans="1:12">
      <c r="A33" s="16" t="s">
        <v>624</v>
      </c>
      <c r="L33" s="17"/>
    </row>
    <row r="34" spans="1:12">
      <c r="A34" s="16"/>
      <c r="B34" s="53">
        <f>B30-B32</f>
        <v>6.0638641216434336E-3</v>
      </c>
      <c r="C34" s="53">
        <f t="shared" ref="C34:L34" si="0">C30-C32</f>
        <v>6.0296928709290126E-3</v>
      </c>
      <c r="D34" s="53">
        <f t="shared" si="0"/>
        <v>6.1640140620334294E-3</v>
      </c>
      <c r="E34" s="53">
        <f t="shared" si="0"/>
        <v>6.1296655668067884E-3</v>
      </c>
      <c r="F34" s="53">
        <f t="shared" si="0"/>
        <v>6.0956977589351619E-3</v>
      </c>
      <c r="G34" s="53">
        <f t="shared" si="0"/>
        <v>1.6366662594047593E-2</v>
      </c>
      <c r="H34" s="53">
        <f t="shared" si="0"/>
        <v>1.6060078270429698E-2</v>
      </c>
      <c r="I34" s="53">
        <f t="shared" si="0"/>
        <v>1.5758455666102525E-2</v>
      </c>
      <c r="J34" s="53">
        <f t="shared" si="0"/>
        <v>1.5461669558374649E-2</v>
      </c>
      <c r="K34" s="53">
        <f t="shared" si="0"/>
        <v>1.5169599042839113E-2</v>
      </c>
      <c r="L34" s="59">
        <f t="shared" si="0"/>
        <v>-1.0408340855860843E-16</v>
      </c>
    </row>
    <row r="35" spans="1:12">
      <c r="A35" s="16"/>
      <c r="L35" s="17"/>
    </row>
    <row r="36" spans="1:12">
      <c r="A36" s="60" t="s">
        <v>625</v>
      </c>
      <c r="B36" s="27"/>
      <c r="C36" s="27"/>
      <c r="D36" s="27"/>
      <c r="E36" s="27"/>
      <c r="F36" s="27"/>
      <c r="G36" s="27"/>
      <c r="H36" s="27"/>
      <c r="I36" s="27"/>
      <c r="J36" s="27"/>
      <c r="K36" s="27"/>
      <c r="L36" s="32"/>
    </row>
    <row r="41" spans="1:12">
      <c r="I41" s="61" t="s">
        <v>662</v>
      </c>
      <c r="J41" s="13"/>
      <c r="K41" s="14"/>
    </row>
    <row r="42" spans="1:12">
      <c r="I42" s="16"/>
      <c r="K42" s="17"/>
    </row>
    <row r="43" spans="1:12">
      <c r="A43" s="1" t="s">
        <v>647</v>
      </c>
      <c r="I43" s="16" t="s">
        <v>652</v>
      </c>
      <c r="K43" s="92">
        <v>155</v>
      </c>
    </row>
    <row r="44" spans="1:12">
      <c r="I44" s="16" t="s">
        <v>653</v>
      </c>
      <c r="K44" s="92">
        <v>139</v>
      </c>
    </row>
    <row r="45" spans="1:12">
      <c r="A45" s="3" t="s">
        <v>639</v>
      </c>
      <c r="C45" s="55">
        <f>'Valuation Output'!B34</f>
        <v>221.1</v>
      </c>
      <c r="I45" s="16" t="s">
        <v>654</v>
      </c>
      <c r="K45" s="92">
        <v>97</v>
      </c>
    </row>
    <row r="46" spans="1:12">
      <c r="A46" s="3" t="s">
        <v>513</v>
      </c>
      <c r="C46" s="55">
        <f>'Valuation Output'!B33</f>
        <v>144.61945826705266</v>
      </c>
      <c r="I46" s="16" t="s">
        <v>655</v>
      </c>
      <c r="K46" s="62">
        <f>AVERAGE(K43:K45)</f>
        <v>130.33333333333334</v>
      </c>
    </row>
    <row r="47" spans="1:12">
      <c r="A47" s="3" t="s">
        <v>640</v>
      </c>
      <c r="C47" s="53">
        <f>'Cost of capital worksheet'!B48</f>
        <v>8.7235291074972174E-2</v>
      </c>
      <c r="I47" s="16"/>
      <c r="K47" s="17"/>
    </row>
    <row r="48" spans="1:12">
      <c r="A48" s="3" t="s">
        <v>641</v>
      </c>
      <c r="C48" s="53">
        <f>'Option value'!D6</f>
        <v>3.3999999999999998E-3</v>
      </c>
      <c r="I48" s="16" t="s">
        <v>656</v>
      </c>
      <c r="K48" s="92">
        <v>32</v>
      </c>
    </row>
    <row r="49" spans="1:11">
      <c r="A49" s="3" t="s">
        <v>642</v>
      </c>
      <c r="C49" s="53">
        <f>C47-C48</f>
        <v>8.3835291074972174E-2</v>
      </c>
      <c r="I49" s="16" t="s">
        <v>657</v>
      </c>
      <c r="K49" s="92">
        <v>39</v>
      </c>
    </row>
    <row r="50" spans="1:11">
      <c r="D50" s="3" t="s">
        <v>645</v>
      </c>
      <c r="E50" s="3" t="s">
        <v>646</v>
      </c>
      <c r="I50" s="16" t="s">
        <v>658</v>
      </c>
      <c r="K50" s="92">
        <v>45</v>
      </c>
    </row>
    <row r="51" spans="1:11">
      <c r="A51" s="3" t="s">
        <v>643</v>
      </c>
      <c r="C51" s="63">
        <f>C46*(1+(C47-C48))^1</f>
        <v>156.74367264597583</v>
      </c>
      <c r="D51" s="64">
        <f>(C51-$C$45)/$C$45</f>
        <v>-0.29107339373145258</v>
      </c>
      <c r="E51" s="53">
        <f>D51+C48</f>
        <v>-0.28767339373145256</v>
      </c>
      <c r="I51" s="16" t="s">
        <v>655</v>
      </c>
      <c r="K51" s="62">
        <f>AVERAGE(K48:K50)</f>
        <v>38.666666666666664</v>
      </c>
    </row>
    <row r="52" spans="1:11">
      <c r="A52" s="3" t="s">
        <v>644</v>
      </c>
      <c r="C52" s="63">
        <f>C46*(1+(C47-C48))^2</f>
        <v>169.88432406641138</v>
      </c>
      <c r="D52" s="64">
        <f>(C52-$C$45)/$C$45</f>
        <v>-0.23164032534413664</v>
      </c>
      <c r="E52" s="53">
        <f>D52+C48</f>
        <v>-0.22824032534413666</v>
      </c>
      <c r="I52" s="16"/>
      <c r="K52" s="17"/>
    </row>
    <row r="53" spans="1:11">
      <c r="I53" s="16" t="s">
        <v>659</v>
      </c>
      <c r="K53" s="62">
        <f>K46-K51</f>
        <v>91.666666666666686</v>
      </c>
    </row>
    <row r="54" spans="1:11">
      <c r="I54" s="16" t="s">
        <v>660</v>
      </c>
      <c r="K54" s="65">
        <f>K53/K51</f>
        <v>2.3706896551724146</v>
      </c>
    </row>
    <row r="55" spans="1:11">
      <c r="I55" s="16"/>
      <c r="K55" s="17"/>
    </row>
    <row r="56" spans="1:11">
      <c r="I56" s="16" t="s">
        <v>661</v>
      </c>
      <c r="K56" s="17"/>
    </row>
    <row r="57" spans="1:11">
      <c r="I57" s="66">
        <f>AVERAGE('Valuation Output'!K5:M5)</f>
        <v>339.70956974432528</v>
      </c>
      <c r="K57" s="17"/>
    </row>
    <row r="58" spans="1:11">
      <c r="I58" s="16" t="s">
        <v>659</v>
      </c>
      <c r="K58" s="67">
        <f>I57-K46</f>
        <v>209.37623641099194</v>
      </c>
    </row>
    <row r="59" spans="1:11">
      <c r="I59" s="26" t="s">
        <v>660</v>
      </c>
      <c r="J59" s="27"/>
      <c r="K59" s="68">
        <f>K58/K46</f>
        <v>1.6064672870408587</v>
      </c>
    </row>
    <row r="100" spans="9:13">
      <c r="I100" s="115" t="s">
        <v>664</v>
      </c>
      <c r="J100" s="115"/>
      <c r="K100" s="115"/>
      <c r="L100" s="115"/>
      <c r="M100" s="115"/>
    </row>
    <row r="101" spans="9:13">
      <c r="J101" s="3" t="s">
        <v>665</v>
      </c>
      <c r="K101" s="3" t="s">
        <v>666</v>
      </c>
      <c r="M101" s="1" t="s">
        <v>663</v>
      </c>
    </row>
    <row r="102" spans="9:13">
      <c r="J102" s="69">
        <v>1689</v>
      </c>
      <c r="K102" s="69">
        <v>1620</v>
      </c>
      <c r="M102" s="3">
        <f>'TTM Calc'!E7</f>
        <v>0</v>
      </c>
    </row>
    <row r="103" spans="9:13">
      <c r="I103" s="3" t="s">
        <v>667</v>
      </c>
      <c r="J103" s="69">
        <v>13535</v>
      </c>
      <c r="K103" s="69">
        <v>13264</v>
      </c>
      <c r="M103" s="1" t="s">
        <v>671</v>
      </c>
    </row>
    <row r="104" spans="9:13">
      <c r="I104" s="3" t="s">
        <v>668</v>
      </c>
      <c r="J104" s="70">
        <f>J102+J103</f>
        <v>15224</v>
      </c>
      <c r="K104" s="70">
        <f>K102+K103</f>
        <v>14884</v>
      </c>
      <c r="M104" s="3">
        <f>'TTM Calc'!E4+'TTM Calc'!E7</f>
        <v>154.55000000000001</v>
      </c>
    </row>
  </sheetData>
  <mergeCells count="1">
    <mergeCell ref="I100:M100"/>
  </mergeCells>
  <pageMargins left="0.7" right="0.7" top="0.75" bottom="0.75" header="0.3" footer="0.3"/>
  <pageSetup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D3FC7-252B-4EF2-BC63-3A548228F04F}">
  <sheetPr>
    <tabColor theme="4" tint="0.39997558519241921"/>
  </sheetPr>
  <dimension ref="A1:F27"/>
  <sheetViews>
    <sheetView workbookViewId="0">
      <selection activeCell="D7" sqref="D7"/>
    </sheetView>
  </sheetViews>
  <sheetFormatPr defaultRowHeight="15"/>
  <cols>
    <col min="1" max="1" width="49.28515625" style="3" bestFit="1" customWidth="1"/>
    <col min="2" max="2" width="7.7109375" style="3" bestFit="1" customWidth="1"/>
    <col min="3" max="3" width="11.28515625" style="3" customWidth="1"/>
    <col min="4" max="4" width="25.7109375" style="3" bestFit="1" customWidth="1"/>
    <col min="5" max="16384" width="9.140625" style="3"/>
  </cols>
  <sheetData>
    <row r="1" spans="1:6">
      <c r="A1" s="1" t="s">
        <v>384</v>
      </c>
    </row>
    <row r="2" spans="1:6">
      <c r="A2" s="3" t="s">
        <v>385</v>
      </c>
      <c r="D2" s="29">
        <f>'Input Sheet'!B19</f>
        <v>221.1</v>
      </c>
    </row>
    <row r="3" spans="1:6">
      <c r="A3" s="3" t="s">
        <v>386</v>
      </c>
      <c r="D3" s="71">
        <f>'Input Sheet'!B32</f>
        <v>82.6</v>
      </c>
    </row>
    <row r="4" spans="1:6">
      <c r="A4" s="3" t="s">
        <v>387</v>
      </c>
      <c r="D4" s="47">
        <f>'Input Sheet'!B33</f>
        <v>5.6</v>
      </c>
    </row>
    <row r="5" spans="1:6">
      <c r="A5" s="3" t="s">
        <v>388</v>
      </c>
      <c r="D5" s="21">
        <f>'Input Sheet'!B34</f>
        <v>0.184</v>
      </c>
    </row>
    <row r="6" spans="1:6">
      <c r="A6" s="3" t="s">
        <v>389</v>
      </c>
      <c r="D6" s="72">
        <v>3.3999999999999998E-3</v>
      </c>
    </row>
    <row r="7" spans="1:6">
      <c r="A7" s="3" t="s">
        <v>390</v>
      </c>
      <c r="D7" s="21">
        <f>'Input Sheet'!B27</f>
        <v>4.1000000000000002E-2</v>
      </c>
    </row>
    <row r="8" spans="1:6">
      <c r="A8" s="3" t="s">
        <v>391</v>
      </c>
      <c r="D8" s="23">
        <f>'Input Sheet'!B31</f>
        <v>3.6</v>
      </c>
    </row>
    <row r="9" spans="1:6">
      <c r="A9" s="3" t="s">
        <v>392</v>
      </c>
      <c r="D9" s="47">
        <f>'Input Sheet'!B18</f>
        <v>15.53</v>
      </c>
    </row>
    <row r="11" spans="1:6">
      <c r="A11" s="3" t="s">
        <v>393</v>
      </c>
    </row>
    <row r="12" spans="1:6">
      <c r="A12" s="3" t="s">
        <v>394</v>
      </c>
    </row>
    <row r="13" spans="1:6">
      <c r="A13" s="3" t="s">
        <v>395</v>
      </c>
      <c r="C13" s="29">
        <f>D2</f>
        <v>221.1</v>
      </c>
      <c r="D13" s="3" t="s">
        <v>406</v>
      </c>
      <c r="F13" s="23">
        <f>D8</f>
        <v>3.6</v>
      </c>
    </row>
    <row r="14" spans="1:6">
      <c r="A14" s="3" t="s">
        <v>396</v>
      </c>
      <c r="C14" s="71">
        <f>D3</f>
        <v>82.6</v>
      </c>
      <c r="D14" s="3" t="s">
        <v>407</v>
      </c>
      <c r="F14" s="47">
        <f>D9</f>
        <v>15.53</v>
      </c>
    </row>
    <row r="15" spans="1:6">
      <c r="A15" s="3" t="s">
        <v>397</v>
      </c>
      <c r="C15" s="47">
        <f ca="1">(C13*F14+C26*F13)/(F14+F13)</f>
        <v>205.00260181756812</v>
      </c>
      <c r="D15" s="3" t="s">
        <v>408</v>
      </c>
      <c r="F15" s="21">
        <f>D7</f>
        <v>4.1000000000000002E-2</v>
      </c>
    </row>
    <row r="16" spans="1:6">
      <c r="A16" s="3" t="s">
        <v>398</v>
      </c>
      <c r="C16" s="71">
        <f>C14</f>
        <v>82.6</v>
      </c>
      <c r="D16" s="3" t="s">
        <v>409</v>
      </c>
      <c r="F16" s="47">
        <f>D5^2</f>
        <v>3.3855999999999997E-2</v>
      </c>
    </row>
    <row r="17" spans="1:6">
      <c r="A17" s="3" t="s">
        <v>399</v>
      </c>
      <c r="C17" s="47">
        <f>D4</f>
        <v>5.6</v>
      </c>
      <c r="D17" s="3" t="s">
        <v>410</v>
      </c>
      <c r="F17" s="47">
        <f>D6</f>
        <v>3.3999999999999998E-3</v>
      </c>
    </row>
    <row r="18" spans="1:6">
      <c r="D18" s="3" t="s">
        <v>411</v>
      </c>
      <c r="F18" s="21">
        <f>F15-F17</f>
        <v>3.7600000000000001E-2</v>
      </c>
    </row>
    <row r="20" spans="1:6">
      <c r="A20" s="3" t="s">
        <v>400</v>
      </c>
      <c r="B20" s="47">
        <f ca="1">(LN(C15/C16)+(F18+(F16/2))*C17)/(((F16)^(0.5))*(C17^0.5))</f>
        <v>2.7889396606143038</v>
      </c>
    </row>
    <row r="21" spans="1:6">
      <c r="A21" s="3" t="s">
        <v>401</v>
      </c>
      <c r="B21" s="47">
        <f ca="1">NORMSDIST(B20)</f>
        <v>0.99735595418409273</v>
      </c>
    </row>
    <row r="23" spans="1:6">
      <c r="A23" s="3" t="s">
        <v>402</v>
      </c>
      <c r="B23" s="47">
        <f ca="1">B20-((F16^0.5)*(C17^(0.5)))</f>
        <v>2.3535161885781721</v>
      </c>
    </row>
    <row r="24" spans="1:6">
      <c r="A24" s="3" t="s">
        <v>403</v>
      </c>
      <c r="B24" s="47">
        <f ca="1">NORMSDIST(B23)</f>
        <v>0.99070160095702497</v>
      </c>
    </row>
    <row r="26" spans="1:6">
      <c r="A26" s="3" t="s">
        <v>404</v>
      </c>
      <c r="C26" s="47">
        <f ca="1">((EXP((0-F17)*C17))*C15*B21-C16*(EXP((0-F15)*C17))*B24)</f>
        <v>135.56021465835511</v>
      </c>
    </row>
    <row r="27" spans="1:6">
      <c r="A27" s="3" t="s">
        <v>405</v>
      </c>
      <c r="D27" s="47">
        <f ca="1">C26*D8</f>
        <v>488.01677277007838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E9694-F72E-4A54-A328-B71ED38D8868}">
  <sheetPr>
    <tabColor theme="4" tint="0.39997558519241921"/>
  </sheetPr>
  <dimension ref="A1:G40"/>
  <sheetViews>
    <sheetView workbookViewId="0">
      <selection activeCell="D9" sqref="D9"/>
    </sheetView>
  </sheetViews>
  <sheetFormatPr defaultRowHeight="15"/>
  <cols>
    <col min="1" max="1" width="9.140625" style="3"/>
    <col min="2" max="2" width="17.28515625" style="3" customWidth="1"/>
    <col min="3" max="3" width="18.42578125" style="3" customWidth="1"/>
    <col min="4" max="4" width="12.140625" style="3" customWidth="1"/>
    <col min="5" max="5" width="12.5703125" style="3" customWidth="1"/>
    <col min="6" max="16384" width="9.140625" style="3"/>
  </cols>
  <sheetData>
    <row r="1" spans="1:7">
      <c r="A1" s="1" t="s">
        <v>412</v>
      </c>
    </row>
    <row r="2" spans="1:7">
      <c r="A2" s="3" t="s">
        <v>413</v>
      </c>
    </row>
    <row r="3" spans="1:7">
      <c r="A3" s="3" t="s">
        <v>414</v>
      </c>
    </row>
    <row r="5" spans="1:7">
      <c r="A5" s="3" t="s">
        <v>415</v>
      </c>
    </row>
    <row r="6" spans="1:7">
      <c r="A6" s="3" t="s">
        <v>416</v>
      </c>
      <c r="F6" s="90">
        <v>2</v>
      </c>
      <c r="G6" s="74" t="s">
        <v>431</v>
      </c>
    </row>
    <row r="7" spans="1:7">
      <c r="A7" s="3" t="s">
        <v>417</v>
      </c>
      <c r="F7" s="90">
        <v>69.400000000000006</v>
      </c>
      <c r="G7" s="74" t="s">
        <v>432</v>
      </c>
    </row>
    <row r="8" spans="1:7">
      <c r="A8" s="3" t="s">
        <v>418</v>
      </c>
    </row>
    <row r="9" spans="1:7">
      <c r="A9" s="3" t="s">
        <v>419</v>
      </c>
    </row>
    <row r="10" spans="1:7">
      <c r="A10" s="1" t="s">
        <v>420</v>
      </c>
      <c r="B10" s="1" t="s">
        <v>435</v>
      </c>
    </row>
    <row r="11" spans="1:7">
      <c r="A11" s="1">
        <v>-1</v>
      </c>
      <c r="B11" s="90">
        <v>66.099999999999994</v>
      </c>
      <c r="C11" s="75" t="s">
        <v>433</v>
      </c>
    </row>
    <row r="12" spans="1:7">
      <c r="A12" s="1">
        <f t="shared" ref="A12:A20" si="0">IF((0-A11)&lt;$F$6,IF(A11&gt;-1,,A11-1),)</f>
        <v>-2</v>
      </c>
      <c r="B12" s="90">
        <v>61</v>
      </c>
      <c r="C12" s="75" t="s">
        <v>434</v>
      </c>
    </row>
    <row r="13" spans="1:7">
      <c r="A13" s="1">
        <f t="shared" si="0"/>
        <v>0</v>
      </c>
      <c r="B13" s="90"/>
    </row>
    <row r="14" spans="1:7">
      <c r="A14" s="1">
        <f t="shared" si="0"/>
        <v>0</v>
      </c>
      <c r="B14" s="90"/>
    </row>
    <row r="15" spans="1:7">
      <c r="A15" s="1">
        <f t="shared" si="0"/>
        <v>0</v>
      </c>
      <c r="B15" s="90"/>
    </row>
    <row r="16" spans="1:7">
      <c r="A16" s="1">
        <f t="shared" si="0"/>
        <v>0</v>
      </c>
      <c r="B16" s="90"/>
    </row>
    <row r="17" spans="1:5">
      <c r="A17" s="1">
        <f t="shared" si="0"/>
        <v>0</v>
      </c>
      <c r="B17" s="90"/>
    </row>
    <row r="18" spans="1:5">
      <c r="A18" s="1">
        <f t="shared" si="0"/>
        <v>0</v>
      </c>
      <c r="B18" s="90"/>
    </row>
    <row r="19" spans="1:5">
      <c r="A19" s="1">
        <f t="shared" si="0"/>
        <v>0</v>
      </c>
      <c r="B19" s="90"/>
    </row>
    <row r="20" spans="1:5">
      <c r="A20" s="1">
        <f t="shared" si="0"/>
        <v>0</v>
      </c>
      <c r="B20" s="90"/>
    </row>
    <row r="22" spans="1:5">
      <c r="A22" s="3" t="s">
        <v>421</v>
      </c>
    </row>
    <row r="23" spans="1:5">
      <c r="A23" s="3" t="s">
        <v>420</v>
      </c>
      <c r="B23" s="3" t="s">
        <v>427</v>
      </c>
      <c r="C23" s="3" t="s">
        <v>428</v>
      </c>
      <c r="E23" s="3" t="s">
        <v>429</v>
      </c>
    </row>
    <row r="24" spans="1:5">
      <c r="A24" s="3" t="s">
        <v>422</v>
      </c>
      <c r="B24" s="47">
        <f>F7</f>
        <v>69.400000000000006</v>
      </c>
      <c r="C24" s="47">
        <f>1</f>
        <v>1</v>
      </c>
      <c r="D24" s="47">
        <f t="shared" ref="D24:D34" si="1">B24*C24</f>
        <v>69.400000000000006</v>
      </c>
    </row>
    <row r="25" spans="1:5">
      <c r="A25" s="1">
        <f t="shared" ref="A25:B34" si="2">A11</f>
        <v>-1</v>
      </c>
      <c r="B25" s="47">
        <f t="shared" si="2"/>
        <v>66.099999999999994</v>
      </c>
      <c r="C25" s="47">
        <f t="shared" ref="C25:C34" si="3">IF(A25&lt;0,($F$6+A25)/$F$6,0)</f>
        <v>0.5</v>
      </c>
      <c r="D25" s="47">
        <f t="shared" si="1"/>
        <v>33.049999999999997</v>
      </c>
      <c r="E25" s="47">
        <f t="shared" ref="E25:E34" si="4">IF(A25&lt;0,B25/$F$6,0)</f>
        <v>33.049999999999997</v>
      </c>
    </row>
    <row r="26" spans="1:5">
      <c r="A26" s="1">
        <f t="shared" si="2"/>
        <v>-2</v>
      </c>
      <c r="B26" s="47">
        <f t="shared" si="2"/>
        <v>61</v>
      </c>
      <c r="C26" s="47">
        <f t="shared" si="3"/>
        <v>0</v>
      </c>
      <c r="D26" s="47">
        <f t="shared" si="1"/>
        <v>0</v>
      </c>
      <c r="E26" s="47">
        <f t="shared" si="4"/>
        <v>30.5</v>
      </c>
    </row>
    <row r="27" spans="1:5">
      <c r="A27" s="1">
        <f t="shared" si="2"/>
        <v>0</v>
      </c>
      <c r="B27" s="47">
        <f t="shared" si="2"/>
        <v>0</v>
      </c>
      <c r="C27" s="47">
        <f t="shared" si="3"/>
        <v>0</v>
      </c>
      <c r="D27" s="47">
        <f t="shared" si="1"/>
        <v>0</v>
      </c>
      <c r="E27" s="47">
        <f t="shared" si="4"/>
        <v>0</v>
      </c>
    </row>
    <row r="28" spans="1:5">
      <c r="A28" s="1">
        <f t="shared" si="2"/>
        <v>0</v>
      </c>
      <c r="B28" s="47">
        <f t="shared" si="2"/>
        <v>0</v>
      </c>
      <c r="C28" s="47">
        <f t="shared" si="3"/>
        <v>0</v>
      </c>
      <c r="D28" s="47">
        <f t="shared" si="1"/>
        <v>0</v>
      </c>
      <c r="E28" s="47">
        <f t="shared" si="4"/>
        <v>0</v>
      </c>
    </row>
    <row r="29" spans="1:5">
      <c r="A29" s="1">
        <f t="shared" si="2"/>
        <v>0</v>
      </c>
      <c r="B29" s="47">
        <f t="shared" si="2"/>
        <v>0</v>
      </c>
      <c r="C29" s="47">
        <f t="shared" si="3"/>
        <v>0</v>
      </c>
      <c r="D29" s="47">
        <f t="shared" si="1"/>
        <v>0</v>
      </c>
      <c r="E29" s="47">
        <f t="shared" si="4"/>
        <v>0</v>
      </c>
    </row>
    <row r="30" spans="1:5">
      <c r="A30" s="1">
        <f t="shared" si="2"/>
        <v>0</v>
      </c>
      <c r="B30" s="47">
        <f t="shared" si="2"/>
        <v>0</v>
      </c>
      <c r="C30" s="47">
        <f t="shared" si="3"/>
        <v>0</v>
      </c>
      <c r="D30" s="47">
        <f t="shared" si="1"/>
        <v>0</v>
      </c>
      <c r="E30" s="47">
        <f t="shared" si="4"/>
        <v>0</v>
      </c>
    </row>
    <row r="31" spans="1:5">
      <c r="A31" s="1">
        <f t="shared" si="2"/>
        <v>0</v>
      </c>
      <c r="B31" s="47">
        <f t="shared" si="2"/>
        <v>0</v>
      </c>
      <c r="C31" s="47">
        <f t="shared" si="3"/>
        <v>0</v>
      </c>
      <c r="D31" s="47">
        <f t="shared" si="1"/>
        <v>0</v>
      </c>
      <c r="E31" s="47">
        <f t="shared" si="4"/>
        <v>0</v>
      </c>
    </row>
    <row r="32" spans="1:5">
      <c r="A32" s="1">
        <f t="shared" si="2"/>
        <v>0</v>
      </c>
      <c r="B32" s="47">
        <f t="shared" si="2"/>
        <v>0</v>
      </c>
      <c r="C32" s="47">
        <f t="shared" si="3"/>
        <v>0</v>
      </c>
      <c r="D32" s="47">
        <f t="shared" si="1"/>
        <v>0</v>
      </c>
      <c r="E32" s="47">
        <f t="shared" si="4"/>
        <v>0</v>
      </c>
    </row>
    <row r="33" spans="1:5">
      <c r="A33" s="1">
        <f t="shared" si="2"/>
        <v>0</v>
      </c>
      <c r="B33" s="47">
        <f t="shared" si="2"/>
        <v>0</v>
      </c>
      <c r="C33" s="47">
        <f t="shared" si="3"/>
        <v>0</v>
      </c>
      <c r="D33" s="47">
        <f t="shared" si="1"/>
        <v>0</v>
      </c>
      <c r="E33" s="47">
        <f t="shared" si="4"/>
        <v>0</v>
      </c>
    </row>
    <row r="34" spans="1:5">
      <c r="A34" s="1">
        <f t="shared" si="2"/>
        <v>0</v>
      </c>
      <c r="B34" s="47">
        <f t="shared" si="2"/>
        <v>0</v>
      </c>
      <c r="C34" s="47">
        <f t="shared" si="3"/>
        <v>0</v>
      </c>
      <c r="D34" s="47">
        <f t="shared" si="1"/>
        <v>0</v>
      </c>
      <c r="E34" s="47">
        <f t="shared" si="4"/>
        <v>0</v>
      </c>
    </row>
    <row r="35" spans="1:5">
      <c r="A35" s="3" t="s">
        <v>423</v>
      </c>
      <c r="D35" s="47">
        <f>SUM(D24:D34)</f>
        <v>102.45</v>
      </c>
      <c r="E35" s="47">
        <f>SUM(E25:E34)</f>
        <v>63.55</v>
      </c>
    </row>
    <row r="37" spans="1:5">
      <c r="A37" s="3" t="s">
        <v>424</v>
      </c>
      <c r="D37" s="47">
        <f>E35</f>
        <v>63.55</v>
      </c>
    </row>
    <row r="39" spans="1:5">
      <c r="A39" s="3" t="s">
        <v>425</v>
      </c>
      <c r="D39" s="47">
        <f>F7-D37</f>
        <v>5.8500000000000085</v>
      </c>
      <c r="E39" s="3" t="s">
        <v>430</v>
      </c>
    </row>
    <row r="40" spans="1:5">
      <c r="A40" s="3" t="s">
        <v>426</v>
      </c>
      <c r="D40" s="47">
        <f>D39*'Input Sheet'!B21</f>
        <v>1.4625000000000021</v>
      </c>
    </row>
  </sheetData>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43874-924C-4447-9BCC-1280FB8464E3}">
  <sheetPr>
    <tabColor theme="4" tint="0.39997558519241921"/>
  </sheetPr>
  <dimension ref="A1:G34"/>
  <sheetViews>
    <sheetView workbookViewId="0"/>
  </sheetViews>
  <sheetFormatPr defaultRowHeight="15"/>
  <cols>
    <col min="1" max="1" width="18.140625" style="3" customWidth="1"/>
    <col min="2" max="2" width="16.28515625" style="3" customWidth="1"/>
    <col min="3" max="3" width="9.140625" style="3"/>
    <col min="4" max="4" width="12.140625" style="3" customWidth="1"/>
    <col min="5" max="16384" width="9.140625" style="3"/>
  </cols>
  <sheetData>
    <row r="1" spans="1:5">
      <c r="A1" s="1" t="s">
        <v>458</v>
      </c>
    </row>
    <row r="2" spans="1:5">
      <c r="A2" s="3" t="s">
        <v>459</v>
      </c>
    </row>
    <row r="3" spans="1:5">
      <c r="A3" s="3" t="s">
        <v>415</v>
      </c>
    </row>
    <row r="4" spans="1:5">
      <c r="A4" s="3" t="s">
        <v>436</v>
      </c>
      <c r="E4" s="90">
        <v>49</v>
      </c>
    </row>
    <row r="5" spans="1:5">
      <c r="A5" s="3" t="s">
        <v>437</v>
      </c>
    </row>
    <row r="6" spans="1:5">
      <c r="A6" s="1" t="s">
        <v>420</v>
      </c>
      <c r="B6" s="1" t="s">
        <v>448</v>
      </c>
      <c r="C6" s="3" t="s">
        <v>449</v>
      </c>
    </row>
    <row r="7" spans="1:5">
      <c r="A7" s="1">
        <v>1</v>
      </c>
      <c r="B7" s="90">
        <v>46.8</v>
      </c>
    </row>
    <row r="8" spans="1:5">
      <c r="A8" s="1">
        <v>2</v>
      </c>
      <c r="B8" s="90">
        <v>45.2</v>
      </c>
    </row>
    <row r="9" spans="1:5">
      <c r="A9" s="1">
        <v>3</v>
      </c>
      <c r="B9" s="90">
        <v>39.5</v>
      </c>
    </row>
    <row r="10" spans="1:5">
      <c r="A10" s="1">
        <v>4</v>
      </c>
      <c r="B10" s="90">
        <v>35.9</v>
      </c>
    </row>
    <row r="11" spans="1:5">
      <c r="A11" s="1">
        <v>5</v>
      </c>
      <c r="B11" s="90">
        <v>34.700000000000003</v>
      </c>
    </row>
    <row r="12" spans="1:5">
      <c r="A12" s="1" t="s">
        <v>438</v>
      </c>
      <c r="B12" s="90">
        <v>204.4</v>
      </c>
    </row>
    <row r="14" spans="1:5">
      <c r="A14" s="1" t="s">
        <v>421</v>
      </c>
    </row>
    <row r="15" spans="1:5">
      <c r="A15" s="1" t="s">
        <v>439</v>
      </c>
      <c r="C15" s="21">
        <f>'Synthetic rating'!D13</f>
        <v>4.8399999999999999E-2</v>
      </c>
      <c r="D15" s="3" t="s">
        <v>451</v>
      </c>
    </row>
    <row r="18" spans="1:7">
      <c r="A18" s="3" t="s">
        <v>440</v>
      </c>
      <c r="D18" s="47">
        <f>IF(B12&gt;0,ROUND(B12/AVERAGE(B7:B11),0),0)</f>
        <v>5</v>
      </c>
      <c r="E18" s="3" t="s">
        <v>453</v>
      </c>
    </row>
    <row r="19" spans="1:7">
      <c r="E19" s="3" t="s">
        <v>454</v>
      </c>
    </row>
    <row r="20" spans="1:7">
      <c r="A20" s="1" t="s">
        <v>441</v>
      </c>
    </row>
    <row r="21" spans="1:7">
      <c r="A21" s="1" t="s">
        <v>420</v>
      </c>
      <c r="B21" s="3" t="s">
        <v>448</v>
      </c>
      <c r="C21" s="3" t="s">
        <v>450</v>
      </c>
    </row>
    <row r="22" spans="1:7">
      <c r="A22" s="1">
        <f t="shared" ref="A22:B26" si="0">A7</f>
        <v>1</v>
      </c>
      <c r="B22" s="47">
        <f t="shared" si="0"/>
        <v>46.8</v>
      </c>
      <c r="C22" s="47">
        <f>B22/(1+$C$15)^A22</f>
        <v>44.639450591377333</v>
      </c>
    </row>
    <row r="23" spans="1:7">
      <c r="A23" s="1">
        <f t="shared" si="0"/>
        <v>2</v>
      </c>
      <c r="B23" s="47">
        <f t="shared" si="0"/>
        <v>45.2</v>
      </c>
      <c r="C23" s="47">
        <f>B23/(1+$C$15)^A23</f>
        <v>41.122964067554626</v>
      </c>
    </row>
    <row r="24" spans="1:7">
      <c r="A24" s="1">
        <f t="shared" si="0"/>
        <v>3</v>
      </c>
      <c r="B24" s="47">
        <f t="shared" si="0"/>
        <v>39.5</v>
      </c>
      <c r="C24" s="47">
        <f>B24/(1+$C$15)^A24</f>
        <v>34.278046122291862</v>
      </c>
    </row>
    <row r="25" spans="1:7">
      <c r="A25" s="1">
        <f t="shared" si="0"/>
        <v>4</v>
      </c>
      <c r="B25" s="47">
        <f t="shared" si="0"/>
        <v>35.9</v>
      </c>
      <c r="C25" s="47">
        <f>B25/(1+$C$15)^A25</f>
        <v>29.715729714484223</v>
      </c>
    </row>
    <row r="26" spans="1:7">
      <c r="A26" s="1">
        <f t="shared" si="0"/>
        <v>5</v>
      </c>
      <c r="B26" s="47">
        <f t="shared" si="0"/>
        <v>34.700000000000003</v>
      </c>
      <c r="C26" s="47">
        <f>B26/(1+$C$15)^A26</f>
        <v>27.396457716509854</v>
      </c>
    </row>
    <row r="27" spans="1:7">
      <c r="A27" s="1" t="str">
        <f>A12</f>
        <v>6 and beyond</v>
      </c>
      <c r="B27" s="47">
        <f>IF(B12&gt;0,IF(D18&gt;0,B12/D18,B12),0)</f>
        <v>40.880000000000003</v>
      </c>
      <c r="C27" s="47">
        <f>IF(D18&gt;0,(B27*(1-(1+C15)^(-D18))/C15)/(1+$C$15)^5,B27/(1+C15)^6)</f>
        <v>140.35714874563411</v>
      </c>
      <c r="D27" s="3" t="s">
        <v>452</v>
      </c>
    </row>
    <row r="28" spans="1:7">
      <c r="A28" s="1" t="s">
        <v>442</v>
      </c>
      <c r="C28" s="47">
        <f>SUM(C22:C27)</f>
        <v>317.50979695785202</v>
      </c>
    </row>
    <row r="30" spans="1:7">
      <c r="A30" s="1" t="s">
        <v>443</v>
      </c>
    </row>
    <row r="31" spans="1:7">
      <c r="A31" s="3" t="s">
        <v>444</v>
      </c>
      <c r="F31" s="47">
        <f>C28/(5+D18)</f>
        <v>31.750979695785201</v>
      </c>
      <c r="G31" s="74" t="s">
        <v>455</v>
      </c>
    </row>
    <row r="32" spans="1:7">
      <c r="A32" s="3" t="s">
        <v>445</v>
      </c>
      <c r="F32" s="47">
        <f>E4-F31</f>
        <v>17.249020304214799</v>
      </c>
      <c r="G32" s="74" t="s">
        <v>456</v>
      </c>
    </row>
    <row r="33" spans="1:7">
      <c r="A33" s="3" t="s">
        <v>446</v>
      </c>
      <c r="F33" s="47">
        <f>C28</f>
        <v>317.50979695785202</v>
      </c>
      <c r="G33" s="74" t="s">
        <v>457</v>
      </c>
    </row>
    <row r="34" spans="1:7">
      <c r="A34" s="3" t="s">
        <v>447</v>
      </c>
      <c r="F34" s="47">
        <f>C28/(5+D18)</f>
        <v>31.750979695785201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3331D-57CA-4BE8-A824-A88AFBD375F7}">
  <sheetPr>
    <tabColor theme="4" tint="0.39997558519241921"/>
  </sheetPr>
  <dimension ref="A1:L59"/>
  <sheetViews>
    <sheetView topLeftCell="A13" workbookViewId="0">
      <selection activeCell="I19" sqref="I19"/>
    </sheetView>
  </sheetViews>
  <sheetFormatPr defaultRowHeight="15"/>
  <cols>
    <col min="1" max="1" width="52.42578125" style="3" customWidth="1"/>
    <col min="2" max="2" width="25.140625" style="3" customWidth="1"/>
    <col min="3" max="3" width="9.28515625" style="3" bestFit="1" customWidth="1"/>
    <col min="4" max="4" width="9.7109375" style="3" bestFit="1" customWidth="1"/>
    <col min="5" max="5" width="9.85546875" style="3" bestFit="1" customWidth="1"/>
    <col min="6" max="7" width="9.140625" style="3"/>
    <col min="8" max="8" width="24.7109375" style="3" customWidth="1"/>
    <col min="9" max="10" width="9.28515625" style="3" bestFit="1" customWidth="1"/>
    <col min="11" max="11" width="15.7109375" style="3" customWidth="1"/>
    <col min="12" max="12" width="15.140625" style="3" customWidth="1"/>
    <col min="13" max="16384" width="9.140625" style="3"/>
  </cols>
  <sheetData>
    <row r="1" spans="1:12">
      <c r="A1" s="1" t="s">
        <v>460</v>
      </c>
      <c r="H1" s="3" t="s">
        <v>504</v>
      </c>
    </row>
    <row r="2" spans="1:12">
      <c r="A2" s="3" t="s">
        <v>415</v>
      </c>
      <c r="H2" s="12" t="s">
        <v>35</v>
      </c>
      <c r="I2" s="13" t="s">
        <v>5</v>
      </c>
      <c r="J2" s="13" t="s">
        <v>510</v>
      </c>
      <c r="K2" s="13" t="s">
        <v>512</v>
      </c>
      <c r="L2" s="14" t="s">
        <v>514</v>
      </c>
    </row>
    <row r="3" spans="1:12">
      <c r="A3" s="3" t="s">
        <v>461</v>
      </c>
      <c r="H3" s="90" t="s">
        <v>193</v>
      </c>
      <c r="I3" s="90">
        <v>3913.8</v>
      </c>
      <c r="J3" s="21">
        <f>IF(I3=0,0,VLOOKUP(H3,'Country equity risk premiums'!$A$2:$D$152,4))</f>
        <v>4.4999999999999998E-2</v>
      </c>
      <c r="K3" s="21">
        <f t="shared" ref="K3:K13" si="0">IF(I3&gt;0,I3/$I$14,)</f>
        <v>0.90580448065173114</v>
      </c>
      <c r="L3" s="21">
        <f t="shared" ref="L3:L13" si="1">IF(K3=0,0,J3*K3)</f>
        <v>4.0761201629327899E-2</v>
      </c>
    </row>
    <row r="4" spans="1:12">
      <c r="A4" s="3" t="s">
        <v>462</v>
      </c>
      <c r="B4" s="47">
        <f>'Input Sheet'!B18</f>
        <v>15.53</v>
      </c>
      <c r="H4" s="90" t="s">
        <v>72</v>
      </c>
      <c r="I4" s="90">
        <v>279.5</v>
      </c>
      <c r="J4" s="21">
        <f>IF(I4=0,0,VLOOKUP(H4,'Country equity risk premiums'!$A$2:$D$152,4))</f>
        <v>4.4999999999999998E-2</v>
      </c>
      <c r="K4" s="21">
        <f t="shared" si="0"/>
        <v>6.4687094982410667E-2</v>
      </c>
      <c r="L4" s="21">
        <f t="shared" si="1"/>
        <v>2.9109192742084798E-3</v>
      </c>
    </row>
    <row r="5" spans="1:12">
      <c r="A5" s="3" t="s">
        <v>463</v>
      </c>
      <c r="B5" s="29">
        <f>'Input Sheet'!B19</f>
        <v>221.1</v>
      </c>
      <c r="H5" s="90" t="s">
        <v>192</v>
      </c>
      <c r="I5" s="90">
        <v>127.5</v>
      </c>
      <c r="J5" s="21">
        <f>IF(I5=0,0,VLOOKUP(H5,'Country equity risk premiums'!$A$2:$D$152,4))</f>
        <v>5.5345766699151609E-2</v>
      </c>
      <c r="K5" s="21">
        <f t="shared" si="0"/>
        <v>2.9508424365858172E-2</v>
      </c>
      <c r="L5" s="21">
        <f t="shared" si="1"/>
        <v>1.6331663706123471E-3</v>
      </c>
    </row>
    <row r="6" spans="1:12">
      <c r="H6" s="90"/>
      <c r="I6" s="90"/>
      <c r="J6" s="21">
        <f>IF(I6=0,0,VLOOKUP(H6,'Country equity risk premiums'!$A$2:$D$152,4))</f>
        <v>0</v>
      </c>
      <c r="K6" s="21">
        <f t="shared" si="0"/>
        <v>0</v>
      </c>
      <c r="L6" s="21">
        <f t="shared" si="1"/>
        <v>0</v>
      </c>
    </row>
    <row r="7" spans="1:12">
      <c r="A7" s="3" t="s">
        <v>464</v>
      </c>
      <c r="B7" s="90" t="s">
        <v>497</v>
      </c>
      <c r="H7" s="90"/>
      <c r="I7" s="90"/>
      <c r="J7" s="21">
        <f>IF(I7=0,0,VLOOKUP(H7,'Country equity risk premiums'!$A$2:$D$152,4))</f>
        <v>0</v>
      </c>
      <c r="K7" s="21">
        <f t="shared" si="0"/>
        <v>0</v>
      </c>
      <c r="L7" s="21">
        <f t="shared" si="1"/>
        <v>0</v>
      </c>
    </row>
    <row r="8" spans="1:12">
      <c r="A8" s="3" t="s">
        <v>465</v>
      </c>
      <c r="B8" s="90">
        <v>0.89</v>
      </c>
      <c r="H8" s="90"/>
      <c r="I8" s="90"/>
      <c r="J8" s="21">
        <f>IF(I8=0,0,VLOOKUP(H8,'Country equity risk premiums'!$A$2:$D$152,4))</f>
        <v>0</v>
      </c>
      <c r="K8" s="21">
        <f t="shared" si="0"/>
        <v>0</v>
      </c>
      <c r="L8" s="21">
        <f t="shared" si="1"/>
        <v>0</v>
      </c>
    </row>
    <row r="9" spans="1:12">
      <c r="A9" s="3" t="s">
        <v>466</v>
      </c>
      <c r="B9" s="48">
        <f>IF(B7="Single Business(US)",VLOOKUP('Input Sheet'!B6,'Industry Averages(US)'!A2:G96,7),IF(B7="Multibusiness(US)",L43,IF(B7="Single Business(Global)",VLOOKUP('Input Sheet'!B7,'Global industry averages'!A2:G96,7),'Cost of capital worksheet'!L59)))</f>
        <v>0.94049139107378144</v>
      </c>
      <c r="H9" s="90"/>
      <c r="I9" s="90"/>
      <c r="J9" s="21">
        <f>IF(I9=0,0,VLOOKUP(H9,'Country equity risk premiums'!$A$2:$D$152,4))</f>
        <v>0</v>
      </c>
      <c r="K9" s="21">
        <f t="shared" si="0"/>
        <v>0</v>
      </c>
      <c r="L9" s="21">
        <f t="shared" si="1"/>
        <v>0</v>
      </c>
    </row>
    <row r="10" spans="1:12">
      <c r="A10" s="3" t="s">
        <v>467</v>
      </c>
      <c r="B10" s="21">
        <f>'Input Sheet'!B27</f>
        <v>4.1000000000000002E-2</v>
      </c>
      <c r="H10" s="90"/>
      <c r="I10" s="90"/>
      <c r="J10" s="21">
        <f>IF(I10=0,0,VLOOKUP(H10,'Country equity risk premiums'!$A$2:$D$152,4))</f>
        <v>0</v>
      </c>
      <c r="K10" s="21">
        <f t="shared" si="0"/>
        <v>0</v>
      </c>
      <c r="L10" s="21">
        <f t="shared" si="1"/>
        <v>0</v>
      </c>
    </row>
    <row r="11" spans="1:12">
      <c r="A11" s="3" t="s">
        <v>468</v>
      </c>
      <c r="B11" s="90" t="s">
        <v>498</v>
      </c>
      <c r="H11" s="90"/>
      <c r="I11" s="90"/>
      <c r="J11" s="21">
        <f>IF(I11=0,0,VLOOKUP(H11,'Country equity risk premiums'!$A$2:$D$152,4))</f>
        <v>0</v>
      </c>
      <c r="K11" s="21">
        <f t="shared" si="0"/>
        <v>0</v>
      </c>
      <c r="L11" s="21">
        <f t="shared" si="1"/>
        <v>0</v>
      </c>
    </row>
    <row r="12" spans="1:12">
      <c r="A12" s="3" t="s">
        <v>469</v>
      </c>
      <c r="B12" s="72">
        <v>5.7500000000000002E-2</v>
      </c>
      <c r="H12" s="90"/>
      <c r="I12" s="90"/>
      <c r="J12" s="21">
        <f>IF(I12=0,0,VLOOKUP(H12,'Country equity risk premiums'!$A$2:$D$152,4))</f>
        <v>0</v>
      </c>
      <c r="K12" s="21">
        <f t="shared" si="0"/>
        <v>0</v>
      </c>
      <c r="L12" s="21">
        <f t="shared" si="1"/>
        <v>0</v>
      </c>
    </row>
    <row r="13" spans="1:12">
      <c r="A13" s="3" t="s">
        <v>470</v>
      </c>
      <c r="B13" s="21">
        <f>IF(B11="Will Input",B12,IF(B11="Country of Incorporation",VLOOKUP('Input Sheet'!B5,'Country equity risk premiums'!A2:E145,4),IF(B11="Operating regions",'Cost of capital worksheet'!L27,'Cost of capital worksheet'!L14)))</f>
        <v>4.6967113644666547E-2</v>
      </c>
      <c r="H13" s="90"/>
      <c r="I13" s="90"/>
      <c r="J13" s="21">
        <f>IF(I13=0,0,VLOOKUP(H13,'Country equity risk premiums'!$A$2:$D$152,4))</f>
        <v>0</v>
      </c>
      <c r="K13" s="21">
        <f t="shared" si="0"/>
        <v>0</v>
      </c>
      <c r="L13" s="21">
        <f t="shared" si="1"/>
        <v>0</v>
      </c>
    </row>
    <row r="14" spans="1:12">
      <c r="H14" s="26" t="s">
        <v>505</v>
      </c>
      <c r="I14" s="47">
        <f>SUM(I3:I13)</f>
        <v>4320.8</v>
      </c>
      <c r="J14" s="27"/>
      <c r="K14" s="21">
        <f>SUM(K3:K13)</f>
        <v>1</v>
      </c>
      <c r="L14" s="50">
        <f>SUM(L3:L13)</f>
        <v>4.5305287274148724E-2</v>
      </c>
    </row>
    <row r="15" spans="1:12">
      <c r="A15" s="3" t="s">
        <v>471</v>
      </c>
      <c r="H15" s="3" t="s">
        <v>506</v>
      </c>
    </row>
    <row r="16" spans="1:12">
      <c r="A16" s="3" t="s">
        <v>472</v>
      </c>
      <c r="B16" s="29">
        <f>'Input Sheet'!B12</f>
        <v>197.32</v>
      </c>
      <c r="H16" s="12" t="s">
        <v>36</v>
      </c>
      <c r="I16" s="13" t="s">
        <v>5</v>
      </c>
      <c r="J16" s="13" t="s">
        <v>510</v>
      </c>
      <c r="K16" s="13" t="s">
        <v>512</v>
      </c>
      <c r="L16" s="14" t="s">
        <v>514</v>
      </c>
    </row>
    <row r="17" spans="1:12">
      <c r="A17" s="3" t="s">
        <v>473</v>
      </c>
      <c r="B17" s="29">
        <f>'Input Sheet'!B10</f>
        <v>14.19</v>
      </c>
      <c r="H17" s="90" t="str">
        <f>'Country equity risk premiums'!A156</f>
        <v>Africa</v>
      </c>
      <c r="I17" s="90">
        <v>0</v>
      </c>
      <c r="J17" s="21">
        <f>'Country equity risk premiums'!B156</f>
        <v>0.15207530436670968</v>
      </c>
      <c r="K17" s="21">
        <f t="shared" ref="K17:K26" si="2">I17/$I$27</f>
        <v>0</v>
      </c>
      <c r="L17" s="21">
        <f t="shared" ref="L17:L26" si="3">J17*K17</f>
        <v>0</v>
      </c>
    </row>
    <row r="18" spans="1:12">
      <c r="A18" s="3" t="s">
        <v>474</v>
      </c>
      <c r="B18" s="90">
        <v>4</v>
      </c>
      <c r="H18" s="90" t="str">
        <f>'Country equity risk premiums'!A157</f>
        <v>Asia</v>
      </c>
      <c r="I18" s="90">
        <v>2</v>
      </c>
      <c r="J18" s="21">
        <f>'Country equity risk premiums'!B157</f>
        <v>0.10924430062797984</v>
      </c>
      <c r="K18" s="21">
        <f t="shared" si="2"/>
        <v>0.02</v>
      </c>
      <c r="L18" s="21">
        <f t="shared" si="3"/>
        <v>2.1848860125595966E-3</v>
      </c>
    </row>
    <row r="19" spans="1:12">
      <c r="A19" s="3" t="s">
        <v>475</v>
      </c>
      <c r="B19" s="90" t="s">
        <v>499</v>
      </c>
      <c r="H19" s="90" t="str">
        <f>'Country equity risk premiums'!A158</f>
        <v>Australia &amp; New Zealand</v>
      </c>
      <c r="I19" s="90">
        <v>0</v>
      </c>
      <c r="J19" s="21">
        <f>'Country equity risk premiums'!B158</f>
        <v>7.0898226442974291E-2</v>
      </c>
      <c r="K19" s="21">
        <f t="shared" si="2"/>
        <v>0</v>
      </c>
      <c r="L19" s="21">
        <f t="shared" si="3"/>
        <v>0</v>
      </c>
    </row>
    <row r="20" spans="1:12">
      <c r="A20" s="3" t="s">
        <v>476</v>
      </c>
      <c r="B20" s="91">
        <v>3.5000000000000003E-2</v>
      </c>
      <c r="H20" s="90" t="str">
        <f>'Country equity risk premiums'!A159</f>
        <v>Caribbean</v>
      </c>
      <c r="I20" s="90">
        <v>0</v>
      </c>
      <c r="J20" s="21">
        <f>'Country equity risk premiums'!B159</f>
        <v>0.11239238223775089</v>
      </c>
      <c r="K20" s="21">
        <f t="shared" si="2"/>
        <v>0</v>
      </c>
      <c r="L20" s="21">
        <f t="shared" si="3"/>
        <v>0</v>
      </c>
    </row>
    <row r="21" spans="1:12">
      <c r="A21" s="3" t="s">
        <v>477</v>
      </c>
      <c r="B21" s="90" t="s">
        <v>500</v>
      </c>
      <c r="H21" s="90" t="str">
        <f>'Country equity risk premiums'!A160</f>
        <v>Central and South America</v>
      </c>
      <c r="I21" s="90">
        <v>0</v>
      </c>
      <c r="J21" s="21">
        <f>'Country equity risk premiums'!B160</f>
        <v>0.14073737509411394</v>
      </c>
      <c r="K21" s="21">
        <f t="shared" si="2"/>
        <v>0</v>
      </c>
      <c r="L21" s="21">
        <f t="shared" si="3"/>
        <v>0</v>
      </c>
    </row>
    <row r="22" spans="1:12">
      <c r="A22" s="3" t="s">
        <v>478</v>
      </c>
      <c r="B22" s="90">
        <v>1</v>
      </c>
      <c r="H22" s="90" t="str">
        <f>'Country equity risk premiums'!A161</f>
        <v>Eastern Europe &amp; Russia</v>
      </c>
      <c r="I22" s="90">
        <v>0</v>
      </c>
      <c r="J22" s="21">
        <f>'Country equity risk premiums'!B161</f>
        <v>0.1092233941498533</v>
      </c>
      <c r="K22" s="21">
        <f t="shared" si="2"/>
        <v>0</v>
      </c>
      <c r="L22" s="21">
        <f t="shared" si="3"/>
        <v>0</v>
      </c>
    </row>
    <row r="23" spans="1:12">
      <c r="A23" s="3" t="s">
        <v>439</v>
      </c>
      <c r="B23" s="28">
        <f>IF(B19="Direct Input",B20,IF(B19="Synthetic Rating",'Synthetic rating'!D13,B10+VLOOKUP('Cost of capital worksheet'!B21,'Synthetic rating'!G39:H53,2)))</f>
        <v>4.8399999999999999E-2</v>
      </c>
      <c r="H23" s="90" t="str">
        <f>'Country equity risk premiums'!A162</f>
        <v>Middle East</v>
      </c>
      <c r="I23" s="90">
        <v>0</v>
      </c>
      <c r="J23" s="21">
        <f>'Country equity risk premiums'!B162</f>
        <v>0.10183002834572261</v>
      </c>
      <c r="K23" s="21">
        <f t="shared" si="2"/>
        <v>0</v>
      </c>
      <c r="L23" s="21">
        <f t="shared" si="3"/>
        <v>0</v>
      </c>
    </row>
    <row r="24" spans="1:12">
      <c r="A24" s="3" t="s">
        <v>479</v>
      </c>
      <c r="B24" s="49">
        <f>'Input Sheet'!B21</f>
        <v>0.25</v>
      </c>
      <c r="H24" s="90" t="str">
        <f>'Country equity risk premiums'!A163</f>
        <v>North America</v>
      </c>
      <c r="I24" s="90">
        <v>94</v>
      </c>
      <c r="J24" s="21">
        <f>'Country equity risk premiums'!B163</f>
        <v>4.4999999999999998E-2</v>
      </c>
      <c r="K24" s="21">
        <f t="shared" si="2"/>
        <v>0.94</v>
      </c>
      <c r="L24" s="21">
        <f t="shared" si="3"/>
        <v>4.2299999999999997E-2</v>
      </c>
    </row>
    <row r="25" spans="1:12">
      <c r="H25" s="90" t="str">
        <f>'Country equity risk premiums'!A164</f>
        <v>Western Europe</v>
      </c>
      <c r="I25" s="90">
        <v>4</v>
      </c>
      <c r="J25" s="21">
        <f>'Country equity risk premiums'!B164</f>
        <v>6.2055690802673771E-2</v>
      </c>
      <c r="K25" s="21">
        <f t="shared" si="2"/>
        <v>0.04</v>
      </c>
      <c r="L25" s="21">
        <f t="shared" si="3"/>
        <v>2.482227632106951E-3</v>
      </c>
    </row>
    <row r="26" spans="1:12">
      <c r="A26" s="3" t="s">
        <v>480</v>
      </c>
      <c r="B26" s="73">
        <v>0</v>
      </c>
      <c r="H26" s="90" t="s">
        <v>606</v>
      </c>
      <c r="I26" s="90">
        <v>0</v>
      </c>
      <c r="J26" s="21">
        <f>'Country equity risk premiums'!B165</f>
        <v>0.1115372367789832</v>
      </c>
      <c r="K26" s="21">
        <f t="shared" si="2"/>
        <v>0</v>
      </c>
      <c r="L26" s="21">
        <f t="shared" si="3"/>
        <v>0</v>
      </c>
    </row>
    <row r="27" spans="1:12">
      <c r="A27" s="3" t="s">
        <v>481</v>
      </c>
      <c r="B27" s="73">
        <v>0</v>
      </c>
      <c r="H27" s="26" t="s">
        <v>505</v>
      </c>
      <c r="I27" s="47">
        <f>SUM(I17:I26)</f>
        <v>100</v>
      </c>
      <c r="J27" s="27"/>
      <c r="K27" s="21">
        <f>I27/$I$27</f>
        <v>1</v>
      </c>
      <c r="L27" s="50">
        <f>SUM(L17:L26)</f>
        <v>4.6967113644666547E-2</v>
      </c>
    </row>
    <row r="28" spans="1:12">
      <c r="A28" s="3" t="s">
        <v>482</v>
      </c>
      <c r="B28" s="73">
        <v>0</v>
      </c>
    </row>
    <row r="29" spans="1:12">
      <c r="A29" s="3" t="s">
        <v>483</v>
      </c>
      <c r="B29" s="73">
        <v>0</v>
      </c>
      <c r="H29" s="3" t="s">
        <v>507</v>
      </c>
    </row>
    <row r="30" spans="1:12">
      <c r="H30" s="12" t="s">
        <v>508</v>
      </c>
      <c r="I30" s="13" t="s">
        <v>5</v>
      </c>
      <c r="J30" s="13" t="s">
        <v>511</v>
      </c>
      <c r="K30" s="13" t="s">
        <v>513</v>
      </c>
      <c r="L30" s="14" t="s">
        <v>515</v>
      </c>
    </row>
    <row r="31" spans="1:12">
      <c r="A31" s="3" t="s">
        <v>484</v>
      </c>
      <c r="B31" s="47">
        <f>IF('Input Sheet'!B14="Yes",'Operating lease converter'!F33,0)</f>
        <v>0</v>
      </c>
      <c r="H31" s="90" t="s">
        <v>237</v>
      </c>
      <c r="I31" s="90">
        <v>184819</v>
      </c>
      <c r="J31" s="47">
        <f>IF(H31=0,,VLOOKUP(H31,'Industry Averages(US)'!$A$2:$S$96,15))</f>
        <v>5.1610656647278397</v>
      </c>
      <c r="K31" s="47">
        <f t="shared" ref="K31:K42" si="4">I31*J31</f>
        <v>953862.99508933455</v>
      </c>
      <c r="L31" s="47">
        <f>IF(J31=0,0,VLOOKUP(H31,'Industry Averages(US)'!$A$2:$S$96,7))</f>
        <v>0.96996021209180838</v>
      </c>
    </row>
    <row r="32" spans="1:12">
      <c r="H32" s="90" t="s">
        <v>238</v>
      </c>
      <c r="I32" s="90">
        <v>15317</v>
      </c>
      <c r="J32" s="47">
        <f>IF(H32=0,,VLOOKUP(H32,'Industry Averages(US)'!$A$2:$S$96,15))</f>
        <v>0.6094709713815003</v>
      </c>
      <c r="K32" s="47">
        <f t="shared" si="4"/>
        <v>9335.2668686504403</v>
      </c>
      <c r="L32" s="47">
        <f>IF(J32=0,0,VLOOKUP(H32,'Industry Averages(US)'!$A$2:$S$96,7))</f>
        <v>0.85946082828042358</v>
      </c>
    </row>
    <row r="33" spans="1:12">
      <c r="A33" s="3" t="s">
        <v>485</v>
      </c>
      <c r="H33" s="90" t="s">
        <v>239</v>
      </c>
      <c r="I33" s="90">
        <v>1023</v>
      </c>
      <c r="J33" s="47">
        <f>IF(H33=0,,VLOOKUP(H33,'Industry Averages(US)'!$A$2:$S$96,15))</f>
        <v>5.2888957340712599</v>
      </c>
      <c r="K33" s="47">
        <f t="shared" si="4"/>
        <v>5410.5403359548991</v>
      </c>
      <c r="L33" s="47">
        <f>IF(J33=0,0,VLOOKUP(H33,'Industry Averages(US)'!$A$2:$S$96,7))</f>
        <v>1.1376407770890611</v>
      </c>
    </row>
    <row r="34" spans="1:12">
      <c r="A34" s="3" t="s">
        <v>486</v>
      </c>
      <c r="B34" s="90">
        <v>0</v>
      </c>
      <c r="H34" s="90"/>
      <c r="I34" s="90"/>
      <c r="J34" s="47">
        <f>IF(H34=0,,VLOOKUP(H34,'Industry Averages(US)'!$A$2:$S$96,15))</f>
        <v>0</v>
      </c>
      <c r="K34" s="47">
        <f t="shared" si="4"/>
        <v>0</v>
      </c>
      <c r="L34" s="47">
        <f>IF(J34=0,0,VLOOKUP(H34,'Industry Averages(US)'!$A$2:$S$96,7))</f>
        <v>0</v>
      </c>
    </row>
    <row r="35" spans="1:12">
      <c r="A35" s="3" t="s">
        <v>487</v>
      </c>
      <c r="B35" s="90">
        <v>105</v>
      </c>
      <c r="H35" s="90"/>
      <c r="I35" s="90"/>
      <c r="J35" s="47">
        <f>IF(H35=0,,VLOOKUP(H35,'Industry Averages(US)'!$A$2:$S$96,15))</f>
        <v>0</v>
      </c>
      <c r="K35" s="47">
        <f t="shared" si="4"/>
        <v>0</v>
      </c>
      <c r="L35" s="47">
        <f>IF(J35=0,0,VLOOKUP(H35,'Industry Averages(US)'!$A$2:$S$96,7))</f>
        <v>0</v>
      </c>
    </row>
    <row r="36" spans="1:12">
      <c r="A36" s="3" t="s">
        <v>488</v>
      </c>
      <c r="B36" s="90">
        <v>4</v>
      </c>
      <c r="H36" s="90"/>
      <c r="I36" s="90"/>
      <c r="J36" s="47">
        <f>IF(H36=0,,VLOOKUP(H36,'Industry Averages(US)'!$A$2:$S$96,15))</f>
        <v>0</v>
      </c>
      <c r="K36" s="47">
        <f t="shared" si="4"/>
        <v>0</v>
      </c>
      <c r="L36" s="47">
        <f>IF(J36=0,0,VLOOKUP(H36,'Industry Averages(US)'!$A$2:$S$96,7))</f>
        <v>0</v>
      </c>
    </row>
    <row r="37" spans="1:12">
      <c r="H37" s="90"/>
      <c r="I37" s="90"/>
      <c r="J37" s="47">
        <f>IF(H37=0,,VLOOKUP(H37,'Industry Averages(US)'!$A$2:$S$96,15))</f>
        <v>0</v>
      </c>
      <c r="K37" s="47">
        <f t="shared" si="4"/>
        <v>0</v>
      </c>
      <c r="L37" s="47">
        <f>IF(J37=0,0,VLOOKUP(H37,'Industry Averages(US)'!$A$2:$S$96,7))</f>
        <v>0</v>
      </c>
    </row>
    <row r="38" spans="1:12">
      <c r="A38" s="3" t="s">
        <v>421</v>
      </c>
      <c r="H38" s="90"/>
      <c r="I38" s="90"/>
      <c r="J38" s="47">
        <f>IF(H38=0,,VLOOKUP(H38,'Industry Averages(US)'!$A$2:$S$96,15))</f>
        <v>0</v>
      </c>
      <c r="K38" s="47">
        <f t="shared" si="4"/>
        <v>0</v>
      </c>
      <c r="L38" s="47">
        <f>IF(J38=0,0,VLOOKUP(H38,'Industry Averages(US)'!$A$2:$S$96,7))</f>
        <v>0</v>
      </c>
    </row>
    <row r="39" spans="1:12">
      <c r="A39" s="3" t="s">
        <v>489</v>
      </c>
      <c r="C39" s="47">
        <f>B17*(1-(1+B23)^(-B18))/B23+B16/(1+B23)^B18</f>
        <v>213.83352071580316</v>
      </c>
      <c r="H39" s="90"/>
      <c r="I39" s="90"/>
      <c r="J39" s="47">
        <f>IF(H39=0,,VLOOKUP(H39,'Industry Averages(US)'!$A$2:$S$96,15))</f>
        <v>0</v>
      </c>
      <c r="K39" s="47">
        <f t="shared" si="4"/>
        <v>0</v>
      </c>
      <c r="L39" s="47">
        <f>IF(J39=0,0,VLOOKUP(H39,'Industry Averages(US)'!$A$2:$S$96,7))</f>
        <v>0</v>
      </c>
    </row>
    <row r="40" spans="1:12">
      <c r="A40" s="3" t="s">
        <v>490</v>
      </c>
      <c r="C40" s="47">
        <f>B27*(1-(1+B23)^(-B28))/B23+B26/(1+B23)^B28</f>
        <v>0</v>
      </c>
      <c r="H40" s="90"/>
      <c r="I40" s="90"/>
      <c r="J40" s="47">
        <f>IF(H40=0,,VLOOKUP(H40,'Industry Averages(US)'!$A$2:$S$96,15))</f>
        <v>0</v>
      </c>
      <c r="K40" s="47">
        <f t="shared" si="4"/>
        <v>0</v>
      </c>
      <c r="L40" s="47">
        <f>IF(J40=0,0,VLOOKUP(H40,'Industry Averages(US)'!$A$2:$S$96,7))</f>
        <v>0</v>
      </c>
    </row>
    <row r="41" spans="1:12">
      <c r="A41" s="3" t="s">
        <v>491</v>
      </c>
      <c r="C41" s="47">
        <f>B31</f>
        <v>0</v>
      </c>
      <c r="H41" s="90"/>
      <c r="I41" s="90"/>
      <c r="J41" s="47">
        <f>IF(H41=0,,VLOOKUP(H41,'Industry Averages(US)'!$A$2:$S$96,15))</f>
        <v>0</v>
      </c>
      <c r="K41" s="47">
        <f t="shared" si="4"/>
        <v>0</v>
      </c>
      <c r="L41" s="47">
        <f>IF(J41=0,0,VLOOKUP(H41,'Industry Averages(US)'!$A$2:$S$96,7))</f>
        <v>0</v>
      </c>
    </row>
    <row r="42" spans="1:12">
      <c r="A42" s="3" t="s">
        <v>492</v>
      </c>
      <c r="C42" s="47">
        <f>B29-C40</f>
        <v>0</v>
      </c>
      <c r="H42" s="90"/>
      <c r="I42" s="90"/>
      <c r="J42" s="47">
        <f>IF(H42=0,,VLOOKUP(H42,'Industry Averages(US)'!$A$2:$S$96,15))</f>
        <v>0</v>
      </c>
      <c r="K42" s="47">
        <f t="shared" si="4"/>
        <v>0</v>
      </c>
      <c r="L42" s="47">
        <f>IF(J42=0,0,VLOOKUP(H42,'Industry Averages(US)'!$A$2:$S$96,7))</f>
        <v>0</v>
      </c>
    </row>
    <row r="43" spans="1:12">
      <c r="A43" s="3" t="s">
        <v>493</v>
      </c>
      <c r="C43" s="47">
        <f>IF(B7="Direct Input",B8,B9*(1+(1-B24)*(C46/B46)))</f>
        <v>0.98441840443440842</v>
      </c>
      <c r="H43" s="26" t="s">
        <v>339</v>
      </c>
      <c r="I43" s="47">
        <f>SUM(I31:I42)</f>
        <v>201159</v>
      </c>
      <c r="J43" s="27"/>
      <c r="K43" s="47">
        <f>SUM(K31:K42)</f>
        <v>968608.80229393987</v>
      </c>
      <c r="L43" s="76">
        <f>L31*(K31/K43)+L32*K32/K43+L33*K33/K43+L34*K34/K43+L35*K35/K43+L36*K36/K43+L37*K37/K43+L38*K38/K43+L39*K39/K43+L40*K40/K43+L41*K41/K43+L42*K42/K43</f>
        <v>0.96983188497364359</v>
      </c>
    </row>
    <row r="45" spans="1:12">
      <c r="B45" s="3" t="s">
        <v>461</v>
      </c>
      <c r="C45" s="3" t="s">
        <v>501</v>
      </c>
      <c r="D45" s="3" t="s">
        <v>485</v>
      </c>
      <c r="E45" s="3" t="s">
        <v>502</v>
      </c>
      <c r="H45" s="3" t="s">
        <v>509</v>
      </c>
    </row>
    <row r="46" spans="1:12">
      <c r="A46" s="3" t="s">
        <v>494</v>
      </c>
      <c r="B46" s="47">
        <f>B4*B5</f>
        <v>3433.683</v>
      </c>
      <c r="C46" s="47">
        <f>C39+C40+C41</f>
        <v>213.83352071580316</v>
      </c>
      <c r="D46" s="47">
        <f>B34*B35</f>
        <v>0</v>
      </c>
      <c r="E46" s="47">
        <f>SUM(B46:D46)</f>
        <v>3647.5165207158034</v>
      </c>
      <c r="H46" s="12" t="s">
        <v>508</v>
      </c>
      <c r="I46" s="13" t="s">
        <v>5</v>
      </c>
      <c r="J46" s="13" t="s">
        <v>511</v>
      </c>
      <c r="K46" s="13" t="s">
        <v>513</v>
      </c>
      <c r="L46" s="14" t="s">
        <v>515</v>
      </c>
    </row>
    <row r="47" spans="1:12">
      <c r="A47" s="3" t="s">
        <v>495</v>
      </c>
      <c r="B47" s="28">
        <f>B46/$E$46</f>
        <v>0.94137558541507582</v>
      </c>
      <c r="C47" s="28">
        <f>C46/$E$46</f>
        <v>5.8624414584924102E-2</v>
      </c>
      <c r="D47" s="28">
        <f>D46/$E$46</f>
        <v>0</v>
      </c>
      <c r="E47" s="28">
        <f>SUM(B47:D47)</f>
        <v>0.99999999999999989</v>
      </c>
      <c r="H47" s="90" t="s">
        <v>233</v>
      </c>
      <c r="I47" s="90">
        <v>90</v>
      </c>
      <c r="J47" s="47">
        <f>IF(H47=0,,VLOOKUP(H47,'Global industry averages'!$A$2:$O$96,15))</f>
        <v>1.3920067294617591</v>
      </c>
      <c r="K47" s="47">
        <f t="shared" ref="K47:K58" si="5">I47*J47</f>
        <v>125.28060565155832</v>
      </c>
      <c r="L47" s="47">
        <f>IF(H47=0,,VLOOKUP(H47,'Global industry averages'!$A$2:$O$96,7))</f>
        <v>0.61262227849712791</v>
      </c>
    </row>
    <row r="48" spans="1:12">
      <c r="A48" s="3" t="s">
        <v>496</v>
      </c>
      <c r="B48" s="28">
        <f>B10+C43*B13</f>
        <v>8.7235291074972174E-2</v>
      </c>
      <c r="C48" s="28">
        <f>B23*(1-B24)</f>
        <v>3.6299999999999999E-2</v>
      </c>
      <c r="D48" s="28">
        <f>B36/B35</f>
        <v>3.8095238095238099E-2</v>
      </c>
      <c r="E48" s="77">
        <f>B47*B48+C47*C48+D47*D48</f>
        <v>8.4249239453989225E-2</v>
      </c>
      <c r="H48" s="90" t="s">
        <v>216</v>
      </c>
      <c r="I48" s="90">
        <v>10</v>
      </c>
      <c r="J48" s="47">
        <f>IF(H48=0,,VLOOKUP(H48,'Global industry averages'!$A$2:$O$96,15))</f>
        <v>2.2521789021943541</v>
      </c>
      <c r="K48" s="47">
        <f t="shared" si="5"/>
        <v>22.52178902194354</v>
      </c>
      <c r="L48" s="47">
        <f>IF(H48=0,,VLOOKUP(H48,'Global industry averages'!$A$2:$O$96,7))</f>
        <v>0.94095302064487263</v>
      </c>
    </row>
    <row r="49" spans="5:12">
      <c r="E49" s="3" t="s">
        <v>503</v>
      </c>
      <c r="H49" s="90"/>
      <c r="I49" s="90"/>
      <c r="J49" s="47">
        <f>IF(H49=0,,VLOOKUP(H49,'Global industry averages'!$A$2:$O$96,15))</f>
        <v>0</v>
      </c>
      <c r="K49" s="47">
        <f t="shared" si="5"/>
        <v>0</v>
      </c>
      <c r="L49" s="47">
        <f>IF(H49=0,,VLOOKUP(H49,'Global industry averages'!$A$2:$O$96,7))</f>
        <v>0</v>
      </c>
    </row>
    <row r="50" spans="5:12">
      <c r="H50" s="90"/>
      <c r="I50" s="90"/>
      <c r="J50" s="47">
        <f>IF(H50=0,,VLOOKUP(H50,'Global industry averages'!$A$2:$O$96,15))</f>
        <v>0</v>
      </c>
      <c r="K50" s="47">
        <f t="shared" si="5"/>
        <v>0</v>
      </c>
      <c r="L50" s="47">
        <f>IF(H50=0,,VLOOKUP(H50,'Global industry averages'!$A$2:$O$96,7))</f>
        <v>0</v>
      </c>
    </row>
    <row r="51" spans="5:12">
      <c r="H51" s="90"/>
      <c r="I51" s="90"/>
      <c r="J51" s="47">
        <f>IF(H51=0,,VLOOKUP(H51,'Global industry averages'!$A$2:$O$96,15))</f>
        <v>0</v>
      </c>
      <c r="K51" s="47">
        <f t="shared" si="5"/>
        <v>0</v>
      </c>
      <c r="L51" s="47">
        <f>IF(H51=0,,VLOOKUP(H51,'Global industry averages'!$A$2:$O$96,7))</f>
        <v>0</v>
      </c>
    </row>
    <row r="52" spans="5:12">
      <c r="H52" s="90"/>
      <c r="I52" s="90"/>
      <c r="J52" s="47">
        <f>IF(H52=0,,VLOOKUP(H52,'Global industry averages'!$A$2:$O$96,15))</f>
        <v>0</v>
      </c>
      <c r="K52" s="47">
        <f t="shared" si="5"/>
        <v>0</v>
      </c>
      <c r="L52" s="47">
        <f>IF(H52=0,,VLOOKUP(H52,'Global industry averages'!$A$2:$O$96,7))</f>
        <v>0</v>
      </c>
    </row>
    <row r="53" spans="5:12">
      <c r="H53" s="90"/>
      <c r="I53" s="90"/>
      <c r="J53" s="47">
        <f>IF(H53=0,,VLOOKUP(H53,'Global industry averages'!$A$2:$O$96,15))</f>
        <v>0</v>
      </c>
      <c r="K53" s="47">
        <f t="shared" si="5"/>
        <v>0</v>
      </c>
      <c r="L53" s="47">
        <f>IF(H53=0,,VLOOKUP(H53,'Global industry averages'!$A$2:$O$96,7))</f>
        <v>0</v>
      </c>
    </row>
    <row r="54" spans="5:12">
      <c r="H54" s="90"/>
      <c r="I54" s="90"/>
      <c r="J54" s="47">
        <f>IF(H54=0,,VLOOKUP(H54,'Global industry averages'!$A$2:$O$96,15))</f>
        <v>0</v>
      </c>
      <c r="K54" s="47">
        <f t="shared" si="5"/>
        <v>0</v>
      </c>
      <c r="L54" s="47">
        <f>IF(H54=0,,VLOOKUP(H54,'Global industry averages'!$A$2:$O$96,7))</f>
        <v>0</v>
      </c>
    </row>
    <row r="55" spans="5:12">
      <c r="H55" s="90"/>
      <c r="I55" s="90"/>
      <c r="J55" s="47">
        <f>IF(H55=0,,VLOOKUP(H55,'Global industry averages'!$A$2:$O$96,15))</f>
        <v>0</v>
      </c>
      <c r="K55" s="47">
        <f t="shared" si="5"/>
        <v>0</v>
      </c>
      <c r="L55" s="47">
        <f>IF(H55=0,,VLOOKUP(H55,'Global industry averages'!$A$2:$O$96,7))</f>
        <v>0</v>
      </c>
    </row>
    <row r="56" spans="5:12">
      <c r="H56" s="90"/>
      <c r="I56" s="90"/>
      <c r="J56" s="47">
        <f>IF(H56=0,,VLOOKUP(H56,'Global industry averages'!$A$2:$O$96,15))</f>
        <v>0</v>
      </c>
      <c r="K56" s="47">
        <f t="shared" si="5"/>
        <v>0</v>
      </c>
      <c r="L56" s="47">
        <f>IF(H56=0,,VLOOKUP(H56,'Global industry averages'!$A$2:$O$96,7))</f>
        <v>0</v>
      </c>
    </row>
    <row r="57" spans="5:12">
      <c r="H57" s="90"/>
      <c r="I57" s="90"/>
      <c r="J57" s="47">
        <f>IF(H57=0,,VLOOKUP(H57,'Global industry averages'!$A$2:$O$96,15))</f>
        <v>0</v>
      </c>
      <c r="K57" s="47">
        <f t="shared" si="5"/>
        <v>0</v>
      </c>
      <c r="L57" s="47">
        <f>IF(H57=0,,VLOOKUP(H57,'Global industry averages'!$A$2:$O$96,7))</f>
        <v>0</v>
      </c>
    </row>
    <row r="58" spans="5:12">
      <c r="H58" s="90"/>
      <c r="I58" s="90"/>
      <c r="J58" s="47">
        <f>IF(H58=0,,VLOOKUP(H58,'Global industry averages'!$A$2:$O$96,15))</f>
        <v>0</v>
      </c>
      <c r="K58" s="47">
        <f t="shared" si="5"/>
        <v>0</v>
      </c>
      <c r="L58" s="47">
        <f>IF(H58=0,,VLOOKUP(H58,'Global industry averages'!$A$2:$O$96,7))</f>
        <v>0</v>
      </c>
    </row>
    <row r="59" spans="5:12">
      <c r="H59" s="26" t="s">
        <v>339</v>
      </c>
      <c r="I59" s="47">
        <f>SUM(I47:I58)</f>
        <v>100</v>
      </c>
      <c r="J59" s="27"/>
      <c r="K59" s="47">
        <f>SUM(K47:K58)</f>
        <v>147.80239467350185</v>
      </c>
      <c r="L59" s="76">
        <f>L47*(K47/K59)+L48*K48/K59+L49*K49/K59+L50*K50/K59+L51*K51/K59+L52*K52/K59+L53*K53/K59+L54*K54/K59+L55*K55/K59+L56*K56/K59+L57*K57/K59+L58*K58/K59</f>
        <v>0.66265256197395828</v>
      </c>
    </row>
  </sheetData>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E65AD01-4D5A-4EF1-95AC-B5730852C334}">
          <x14:formula1>
            <xm:f>'Answer Keys'!$D$1:$D$5</xm:f>
          </x14:formula1>
          <xm:sqref>B7</xm:sqref>
        </x14:dataValidation>
        <x14:dataValidation type="list" allowBlank="1" showInputMessage="1" showErrorMessage="1" xr:uid="{98A04F8B-616B-4C81-A806-A10E359A75F1}">
          <x14:formula1>
            <xm:f>'Answer Keys'!$F$1:$F$4</xm:f>
          </x14:formula1>
          <xm:sqref>B11</xm:sqref>
        </x14:dataValidation>
        <x14:dataValidation type="list" allowBlank="1" showInputMessage="1" showErrorMessage="1" xr:uid="{186A3718-9844-4DDB-8518-75EC240F65C9}">
          <x14:formula1>
            <xm:f>'Answer Keys'!$G$1:$G$3</xm:f>
          </x14:formula1>
          <xm:sqref>B19</xm:sqref>
        </x14:dataValidation>
        <x14:dataValidation type="list" allowBlank="1" showInputMessage="1" showErrorMessage="1" xr:uid="{CD20EF10-1DBA-4950-9D79-D01ADCF566E3}">
          <x14:formula1>
            <xm:f>'Country equity risk premiums'!$A$2:$A$152</xm:f>
          </x14:formula1>
          <xm:sqref>H3:H13</xm:sqref>
        </x14:dataValidation>
        <x14:dataValidation type="list" allowBlank="1" showInputMessage="1" showErrorMessage="1" xr:uid="{FB1E1EBE-3C2B-408F-AFA6-77B22AF70298}">
          <x14:formula1>
            <xm:f>'Answer Keys'!$H$1:$H$2</xm:f>
          </x14:formula1>
          <xm:sqref>B22</xm:sqref>
        </x14:dataValidation>
        <x14:dataValidation type="list" allowBlank="1" showInputMessage="1" showErrorMessage="1" xr:uid="{28B2902F-4DE2-4C49-B61E-58BCC98AD5AC}">
          <x14:formula1>
            <xm:f>'Industry Averages(US)'!$A$2:$A$95</xm:f>
          </x14:formula1>
          <xm:sqref>H31:H42</xm:sqref>
        </x14:dataValidation>
        <x14:dataValidation type="list" allowBlank="1" showInputMessage="1" showErrorMessage="1" xr:uid="{03534524-9F1E-43AD-B9AB-E58D06EEEA74}">
          <x14:formula1>
            <xm:f>'Global industry averages'!$A$2:$A$95</xm:f>
          </x14:formula1>
          <xm:sqref>H47:H58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02100-C3E9-4B60-8A78-D3E883563486}">
  <sheetPr>
    <tabColor theme="4" tint="0.39997558519241921"/>
  </sheetPr>
  <dimension ref="A1:H53"/>
  <sheetViews>
    <sheetView workbookViewId="0">
      <selection activeCell="F34" sqref="F34"/>
    </sheetView>
  </sheetViews>
  <sheetFormatPr defaultRowHeight="15"/>
  <cols>
    <col min="1" max="1" width="17.85546875" style="3" customWidth="1"/>
    <col min="2" max="16384" width="9.140625" style="3"/>
  </cols>
  <sheetData>
    <row r="1" spans="1:7">
      <c r="A1" s="3" t="s">
        <v>516</v>
      </c>
    </row>
    <row r="2" spans="1:7">
      <c r="A2" s="3" t="s">
        <v>517</v>
      </c>
    </row>
    <row r="3" spans="1:7">
      <c r="A3" s="3" t="s">
        <v>518</v>
      </c>
    </row>
    <row r="4" spans="1:7">
      <c r="A4" s="3" t="s">
        <v>519</v>
      </c>
      <c r="C4" s="47">
        <f>'Cost of capital worksheet'!B22</f>
        <v>1</v>
      </c>
    </row>
    <row r="5" spans="1:7">
      <c r="A5" s="3" t="s">
        <v>520</v>
      </c>
      <c r="F5" s="47">
        <f>IF('Input Sheet'!B14="Yes",'Input Sheet'!B9+'Operating lease converter'!F32,'Input Sheet'!B9)</f>
        <v>154.55000000000001</v>
      </c>
      <c r="G5" s="74" t="s">
        <v>553</v>
      </c>
    </row>
    <row r="6" spans="1:7">
      <c r="A6" s="3" t="s">
        <v>521</v>
      </c>
      <c r="F6" s="47">
        <f>IF('Input Sheet'!B14="Yes",'Cost of capital worksheet'!B17+'Operating lease converter'!C28*'Operating lease converter'!C15,'Cost of capital worksheet'!B17)</f>
        <v>14.19</v>
      </c>
      <c r="G6" s="74" t="s">
        <v>554</v>
      </c>
    </row>
    <row r="7" spans="1:7">
      <c r="A7" s="3" t="s">
        <v>522</v>
      </c>
      <c r="F7" s="21">
        <f>'Input Sheet'!B27</f>
        <v>4.1000000000000002E-2</v>
      </c>
    </row>
    <row r="8" spans="1:7">
      <c r="A8" s="3" t="s">
        <v>421</v>
      </c>
    </row>
    <row r="9" spans="1:7">
      <c r="A9" s="3" t="s">
        <v>523</v>
      </c>
      <c r="D9" s="47">
        <f>IF(F6=0,1000000,IF(F5&lt;0,-100000,F5/F6))</f>
        <v>10.891472868217056</v>
      </c>
    </row>
    <row r="10" spans="1:7">
      <c r="A10" s="3" t="s">
        <v>524</v>
      </c>
      <c r="D10" s="47" t="str">
        <f>IF(C4=1,VLOOKUP(D9,A19:D33,3),(IF(C4=2,VLOOKUP(D9,A38:D52,3),VLOOKUP(D9,F19:I33,3))))</f>
        <v>Aaa/AAA</v>
      </c>
      <c r="F10" s="3" t="s">
        <v>551</v>
      </c>
    </row>
    <row r="11" spans="1:7">
      <c r="A11" s="3" t="s">
        <v>525</v>
      </c>
      <c r="D11" s="47">
        <f>IF(C4=1,VLOOKUP(D9,A19:D33,4),(IF(C4=2,VLOOKUP(D9,A38:D52,4),VLOOKUP(D9,F19:I33,4))))</f>
        <v>7.4000000000000003E-3</v>
      </c>
      <c r="F11" s="3" t="s">
        <v>552</v>
      </c>
    </row>
    <row r="12" spans="1:7">
      <c r="A12" s="3" t="s">
        <v>526</v>
      </c>
      <c r="D12" s="47">
        <f>VLOOKUP('Input Sheet'!B5,'Country equity risk premiums'!A2:C153,3)</f>
        <v>0</v>
      </c>
    </row>
    <row r="13" spans="1:7">
      <c r="A13" s="3" t="s">
        <v>527</v>
      </c>
      <c r="D13" s="21">
        <f>F7+D11+D12</f>
        <v>4.8399999999999999E-2</v>
      </c>
    </row>
    <row r="15" spans="1:7">
      <c r="A15" s="3" t="s">
        <v>528</v>
      </c>
    </row>
    <row r="16" spans="1:7">
      <c r="A16" s="3" t="s">
        <v>529</v>
      </c>
    </row>
    <row r="17" spans="1:4">
      <c r="A17" s="3" t="s">
        <v>530</v>
      </c>
    </row>
    <row r="18" spans="1:4">
      <c r="A18" s="3" t="s">
        <v>531</v>
      </c>
      <c r="B18" s="78" t="s">
        <v>534</v>
      </c>
      <c r="C18" s="78" t="s">
        <v>535</v>
      </c>
      <c r="D18" s="78" t="s">
        <v>536</v>
      </c>
    </row>
    <row r="19" spans="1:4">
      <c r="A19" s="3">
        <v>-100000</v>
      </c>
      <c r="B19" s="79">
        <v>0.19999900000000001</v>
      </c>
      <c r="C19" s="79" t="s">
        <v>537</v>
      </c>
      <c r="D19" s="80">
        <v>0.16</v>
      </c>
    </row>
    <row r="20" spans="1:4">
      <c r="A20" s="3">
        <v>0.2</v>
      </c>
      <c r="B20" s="79">
        <v>0.64999899999999999</v>
      </c>
      <c r="C20" s="79" t="s">
        <v>540</v>
      </c>
      <c r="D20" s="80">
        <v>0.14000000000000001</v>
      </c>
    </row>
    <row r="21" spans="1:4">
      <c r="A21" s="3">
        <v>0.65</v>
      </c>
      <c r="B21" s="79">
        <v>0.79999900000000002</v>
      </c>
      <c r="C21" s="79" t="s">
        <v>539</v>
      </c>
      <c r="D21" s="80">
        <v>0.12809999999999999</v>
      </c>
    </row>
    <row r="22" spans="1:4">
      <c r="A22" s="3">
        <v>0.8</v>
      </c>
      <c r="B22" s="79">
        <v>1.2499990000000001</v>
      </c>
      <c r="C22" s="79" t="s">
        <v>538</v>
      </c>
      <c r="D22" s="80">
        <v>9.4299999999999995E-2</v>
      </c>
    </row>
    <row r="23" spans="1:4">
      <c r="A23" s="3">
        <v>1.25</v>
      </c>
      <c r="B23" s="79">
        <v>1.4999990000000001</v>
      </c>
      <c r="C23" s="79" t="s">
        <v>541</v>
      </c>
      <c r="D23" s="80">
        <v>6.0400000000000002E-2</v>
      </c>
    </row>
    <row r="24" spans="1:4">
      <c r="A24" s="3">
        <v>1.5</v>
      </c>
      <c r="B24" s="79">
        <v>1.7499990000000001</v>
      </c>
      <c r="C24" s="79" t="s">
        <v>542</v>
      </c>
      <c r="D24" s="80">
        <v>4.3499999999999997E-2</v>
      </c>
    </row>
    <row r="25" spans="1:4">
      <c r="A25" s="3">
        <v>1.75</v>
      </c>
      <c r="B25" s="79">
        <v>1.9999990000000001</v>
      </c>
      <c r="C25" s="79" t="s">
        <v>543</v>
      </c>
      <c r="D25" s="80">
        <v>3.8100000000000002E-2</v>
      </c>
    </row>
    <row r="26" spans="1:4">
      <c r="A26" s="3">
        <v>2</v>
      </c>
      <c r="B26" s="79">
        <v>2.2499999000000002</v>
      </c>
      <c r="C26" s="79" t="s">
        <v>544</v>
      </c>
      <c r="D26" s="80">
        <v>2.7400000000000001E-2</v>
      </c>
    </row>
    <row r="27" spans="1:4">
      <c r="A27" s="3">
        <v>2.25</v>
      </c>
      <c r="B27" s="79">
        <v>2.4999899999999999</v>
      </c>
      <c r="C27" s="79" t="s">
        <v>545</v>
      </c>
      <c r="D27" s="80">
        <v>2.1999999999999999E-2</v>
      </c>
    </row>
    <row r="28" spans="1:4">
      <c r="A28" s="3">
        <v>2.5</v>
      </c>
      <c r="B28" s="79">
        <v>2.9999989999999999</v>
      </c>
      <c r="C28" s="79" t="s">
        <v>500</v>
      </c>
      <c r="D28" s="80">
        <v>1.89E-2</v>
      </c>
    </row>
    <row r="29" spans="1:4">
      <c r="A29" s="3">
        <v>3</v>
      </c>
      <c r="B29" s="79">
        <v>4.2499989999999999</v>
      </c>
      <c r="C29" s="79" t="s">
        <v>546</v>
      </c>
      <c r="D29" s="80">
        <v>1.54E-2</v>
      </c>
    </row>
    <row r="30" spans="1:4">
      <c r="A30" s="3">
        <v>4.25</v>
      </c>
      <c r="B30" s="79">
        <v>5.4999989999999999</v>
      </c>
      <c r="C30" s="79" t="s">
        <v>547</v>
      </c>
      <c r="D30" s="80">
        <v>1.3599999999999999E-2</v>
      </c>
    </row>
    <row r="31" spans="1:4">
      <c r="A31" s="3">
        <v>5.5</v>
      </c>
      <c r="B31" s="79">
        <v>6.4999989999999999</v>
      </c>
      <c r="C31" s="79" t="s">
        <v>548</v>
      </c>
      <c r="D31" s="80">
        <v>1.17E-2</v>
      </c>
    </row>
    <row r="32" spans="1:4">
      <c r="A32" s="3">
        <v>6.5</v>
      </c>
      <c r="B32" s="79">
        <v>8.4999990000000007</v>
      </c>
      <c r="C32" s="79" t="s">
        <v>549</v>
      </c>
      <c r="D32" s="80">
        <v>8.0000000000000002E-3</v>
      </c>
    </row>
    <row r="33" spans="1:8">
      <c r="A33" s="3">
        <v>8.5</v>
      </c>
      <c r="B33" s="79">
        <v>100000</v>
      </c>
      <c r="C33" s="79" t="s">
        <v>550</v>
      </c>
      <c r="D33" s="80">
        <v>7.4000000000000003E-3</v>
      </c>
    </row>
    <row r="34" spans="1:8">
      <c r="B34" s="74"/>
      <c r="C34" s="74"/>
      <c r="D34" s="74"/>
    </row>
    <row r="35" spans="1:8">
      <c r="A35" s="3" t="s">
        <v>532</v>
      </c>
      <c r="B35" s="74"/>
      <c r="C35" s="74"/>
      <c r="D35" s="74"/>
    </row>
    <row r="36" spans="1:8">
      <c r="A36" s="3" t="s">
        <v>530</v>
      </c>
      <c r="B36" s="81"/>
      <c r="C36" s="79"/>
      <c r="D36" s="79"/>
    </row>
    <row r="37" spans="1:8">
      <c r="A37" s="3" t="s">
        <v>533</v>
      </c>
      <c r="B37" s="79" t="s">
        <v>534</v>
      </c>
      <c r="C37" s="79" t="s">
        <v>535</v>
      </c>
      <c r="D37" s="79" t="s">
        <v>536</v>
      </c>
    </row>
    <row r="38" spans="1:8">
      <c r="A38" s="3">
        <v>-100000</v>
      </c>
      <c r="B38" s="79">
        <v>0.49999900000000003</v>
      </c>
      <c r="C38" s="79" t="s">
        <v>537</v>
      </c>
      <c r="D38" s="82">
        <v>0.16</v>
      </c>
      <c r="G38" s="79" t="s">
        <v>535</v>
      </c>
      <c r="H38" s="79" t="s">
        <v>536</v>
      </c>
    </row>
    <row r="39" spans="1:8">
      <c r="A39" s="3">
        <v>0.5</v>
      </c>
      <c r="B39" s="79">
        <v>0.79999900000000002</v>
      </c>
      <c r="C39" s="79" t="s">
        <v>540</v>
      </c>
      <c r="D39" s="82">
        <v>0.14000000000000001</v>
      </c>
      <c r="G39" s="79" t="s">
        <v>548</v>
      </c>
      <c r="H39" s="83">
        <v>8.9999999999999993E-3</v>
      </c>
    </row>
    <row r="40" spans="1:8">
      <c r="A40" s="3">
        <v>0.8</v>
      </c>
      <c r="B40" s="79">
        <v>1.2499990000000001</v>
      </c>
      <c r="C40" s="79" t="s">
        <v>539</v>
      </c>
      <c r="D40" s="82">
        <v>0.12809999999999999</v>
      </c>
      <c r="G40" s="79" t="s">
        <v>547</v>
      </c>
      <c r="H40" s="84">
        <v>0.01</v>
      </c>
    </row>
    <row r="41" spans="1:8">
      <c r="A41" s="3">
        <v>1.25</v>
      </c>
      <c r="B41" s="79">
        <v>1.4999990000000001</v>
      </c>
      <c r="C41" s="79" t="s">
        <v>538</v>
      </c>
      <c r="D41" s="82">
        <v>9.4299999999999995E-2</v>
      </c>
      <c r="G41" s="79" t="s">
        <v>546</v>
      </c>
      <c r="H41" s="84">
        <v>1.2E-2</v>
      </c>
    </row>
    <row r="42" spans="1:8">
      <c r="A42" s="3">
        <v>1.5</v>
      </c>
      <c r="B42" s="79">
        <v>1.9999990000000001</v>
      </c>
      <c r="C42" s="79" t="s">
        <v>541</v>
      </c>
      <c r="D42" s="82">
        <v>6.0400000000000002E-2</v>
      </c>
      <c r="G42" s="79" t="s">
        <v>549</v>
      </c>
      <c r="H42" s="84">
        <v>7.0000000000000001E-3</v>
      </c>
    </row>
    <row r="43" spans="1:8">
      <c r="A43" s="3">
        <v>2</v>
      </c>
      <c r="B43" s="79">
        <v>2.4999989999999999</v>
      </c>
      <c r="C43" s="79" t="s">
        <v>542</v>
      </c>
      <c r="D43" s="82">
        <v>4.3499999999999997E-2</v>
      </c>
      <c r="G43" s="79" t="s">
        <v>550</v>
      </c>
      <c r="H43" s="84">
        <v>4.0000000000000001E-3</v>
      </c>
    </row>
    <row r="44" spans="1:8">
      <c r="A44" s="3">
        <v>2.5</v>
      </c>
      <c r="B44" s="79">
        <v>2.9999989999999999</v>
      </c>
      <c r="C44" s="79" t="s">
        <v>543</v>
      </c>
      <c r="D44" s="82">
        <v>3.8100000000000002E-2</v>
      </c>
      <c r="G44" s="79" t="s">
        <v>543</v>
      </c>
      <c r="H44" s="84">
        <v>0.04</v>
      </c>
    </row>
    <row r="45" spans="1:8">
      <c r="A45" s="3">
        <v>3</v>
      </c>
      <c r="B45" s="79">
        <v>3.4999989999999999</v>
      </c>
      <c r="C45" s="79" t="s">
        <v>544</v>
      </c>
      <c r="D45" s="82">
        <v>2.7400000000000001E-2</v>
      </c>
      <c r="G45" s="79" t="s">
        <v>542</v>
      </c>
      <c r="H45" s="84">
        <v>0.05</v>
      </c>
    </row>
    <row r="46" spans="1:8">
      <c r="A46" s="3">
        <v>3.5</v>
      </c>
      <c r="B46" s="79">
        <v>3.9999999000000002</v>
      </c>
      <c r="C46" s="79" t="s">
        <v>545</v>
      </c>
      <c r="D46" s="82">
        <v>2.1999999999999999E-2</v>
      </c>
      <c r="G46" s="79" t="s">
        <v>541</v>
      </c>
      <c r="H46" s="84">
        <v>0.06</v>
      </c>
    </row>
    <row r="47" spans="1:8">
      <c r="A47" s="3">
        <v>4</v>
      </c>
      <c r="B47" s="79">
        <v>4.4999989999999999</v>
      </c>
      <c r="C47" s="79" t="s">
        <v>500</v>
      </c>
      <c r="D47" s="82">
        <v>1.89E-2</v>
      </c>
      <c r="G47" s="79" t="s">
        <v>545</v>
      </c>
      <c r="H47" s="84">
        <v>2.75E-2</v>
      </c>
    </row>
    <row r="48" spans="1:8">
      <c r="A48" s="3">
        <v>4.5</v>
      </c>
      <c r="B48" s="79">
        <v>5.9999989999999999</v>
      </c>
      <c r="C48" s="79" t="s">
        <v>546</v>
      </c>
      <c r="D48" s="82">
        <v>1.54E-2</v>
      </c>
      <c r="G48" s="79" t="s">
        <v>544</v>
      </c>
      <c r="H48" s="84">
        <v>3.2500000000000001E-2</v>
      </c>
    </row>
    <row r="49" spans="1:8">
      <c r="A49" s="3">
        <v>6</v>
      </c>
      <c r="B49" s="79">
        <v>7.4999989999999999</v>
      </c>
      <c r="C49" s="79" t="s">
        <v>547</v>
      </c>
      <c r="D49" s="82">
        <v>1.3599999999999999E-2</v>
      </c>
      <c r="G49" s="79" t="s">
        <v>500</v>
      </c>
      <c r="H49" s="84">
        <v>1.7500000000000002E-2</v>
      </c>
    </row>
    <row r="50" spans="1:8">
      <c r="A50" s="3">
        <v>7.5</v>
      </c>
      <c r="B50" s="79">
        <v>9.4999990000000007</v>
      </c>
      <c r="C50" s="79" t="s">
        <v>548</v>
      </c>
      <c r="D50" s="82">
        <v>1.17E-2</v>
      </c>
      <c r="G50" s="79" t="s">
        <v>540</v>
      </c>
      <c r="H50" s="84">
        <v>7.0000000000000007E-2</v>
      </c>
    </row>
    <row r="51" spans="1:8">
      <c r="A51" s="3">
        <v>9.5</v>
      </c>
      <c r="B51" s="79">
        <v>12.499999000000001</v>
      </c>
      <c r="C51" s="79" t="s">
        <v>549</v>
      </c>
      <c r="D51" s="82">
        <v>8.0000000000000002E-3</v>
      </c>
      <c r="G51" s="79" t="s">
        <v>539</v>
      </c>
      <c r="H51" s="84">
        <v>0.08</v>
      </c>
    </row>
    <row r="52" spans="1:8">
      <c r="A52" s="3">
        <v>12.5</v>
      </c>
      <c r="B52" s="79">
        <v>100000</v>
      </c>
      <c r="C52" s="79" t="s">
        <v>550</v>
      </c>
      <c r="D52" s="82">
        <v>7.4000000000000003E-3</v>
      </c>
      <c r="G52" s="79" t="s">
        <v>538</v>
      </c>
      <c r="H52" s="84">
        <v>0.1</v>
      </c>
    </row>
    <row r="53" spans="1:8">
      <c r="G53" s="79" t="s">
        <v>537</v>
      </c>
      <c r="H53" s="84">
        <v>0.12</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27221-12A4-41CF-BA86-AFA4E65BFF26}">
  <sheetPr>
    <tabColor theme="4" tint="0.39997558519241921"/>
  </sheetPr>
  <dimension ref="A1:B153"/>
  <sheetViews>
    <sheetView workbookViewId="0">
      <selection sqref="A1:XFD1048576"/>
    </sheetView>
  </sheetViews>
  <sheetFormatPr defaultRowHeight="15"/>
  <cols>
    <col min="1" max="1" width="29.42578125" style="3" bestFit="1" customWidth="1"/>
    <col min="2" max="2" width="24.85546875" style="3" bestFit="1" customWidth="1"/>
    <col min="3" max="16384" width="9.140625" style="3"/>
  </cols>
  <sheetData>
    <row r="1" spans="1:2">
      <c r="A1" s="3" t="s">
        <v>35</v>
      </c>
      <c r="B1" s="3" t="s">
        <v>36</v>
      </c>
    </row>
    <row r="2" spans="1:2">
      <c r="A2" s="3" t="s">
        <v>37</v>
      </c>
      <c r="B2" s="3" t="s">
        <v>38</v>
      </c>
    </row>
    <row r="3" spans="1:2">
      <c r="A3" s="3" t="s">
        <v>39</v>
      </c>
      <c r="B3" s="3" t="s">
        <v>40</v>
      </c>
    </row>
    <row r="4" spans="1:2">
      <c r="A4" s="3" t="s">
        <v>41</v>
      </c>
      <c r="B4" s="3" t="s">
        <v>42</v>
      </c>
    </row>
    <row r="5" spans="1:2">
      <c r="A5" s="3" t="s">
        <v>43</v>
      </c>
      <c r="B5" s="3" t="s">
        <v>44</v>
      </c>
    </row>
    <row r="6" spans="1:2">
      <c r="A6" s="3" t="s">
        <v>45</v>
      </c>
      <c r="B6" s="3" t="s">
        <v>46</v>
      </c>
    </row>
    <row r="7" spans="1:2">
      <c r="A7" s="3" t="s">
        <v>47</v>
      </c>
      <c r="B7" s="3" t="s">
        <v>40</v>
      </c>
    </row>
    <row r="8" spans="1:2">
      <c r="A8" s="3" t="s">
        <v>48</v>
      </c>
      <c r="B8" s="3" t="s">
        <v>49</v>
      </c>
    </row>
    <row r="9" spans="1:2">
      <c r="A9" s="3" t="s">
        <v>50</v>
      </c>
      <c r="B9" s="3" t="s">
        <v>51</v>
      </c>
    </row>
    <row r="10" spans="1:2">
      <c r="A10" s="3" t="s">
        <v>52</v>
      </c>
      <c r="B10" s="3" t="s">
        <v>42</v>
      </c>
    </row>
    <row r="11" spans="1:2">
      <c r="A11" s="3" t="s">
        <v>53</v>
      </c>
      <c r="B11" s="3" t="s">
        <v>40</v>
      </c>
    </row>
    <row r="12" spans="1:2">
      <c r="A12" s="3" t="s">
        <v>54</v>
      </c>
      <c r="B12" s="3" t="s">
        <v>49</v>
      </c>
    </row>
    <row r="13" spans="1:2">
      <c r="A13" s="3" t="s">
        <v>55</v>
      </c>
      <c r="B13" s="3" t="s">
        <v>38</v>
      </c>
    </row>
    <row r="14" spans="1:2">
      <c r="A14" s="3" t="s">
        <v>56</v>
      </c>
      <c r="B14" s="3" t="s">
        <v>57</v>
      </c>
    </row>
    <row r="15" spans="1:2">
      <c r="A15" s="3" t="s">
        <v>58</v>
      </c>
      <c r="B15" s="3" t="s">
        <v>49</v>
      </c>
    </row>
    <row r="16" spans="1:2">
      <c r="A16" s="3" t="s">
        <v>59</v>
      </c>
      <c r="B16" s="3" t="s">
        <v>40</v>
      </c>
    </row>
    <row r="17" spans="1:2">
      <c r="A17" s="3" t="s">
        <v>60</v>
      </c>
      <c r="B17" s="3" t="s">
        <v>42</v>
      </c>
    </row>
    <row r="18" spans="1:2">
      <c r="A18" s="3" t="s">
        <v>61</v>
      </c>
      <c r="B18" s="3" t="s">
        <v>46</v>
      </c>
    </row>
    <row r="19" spans="1:2">
      <c r="A19" s="3" t="s">
        <v>62</v>
      </c>
      <c r="B19" s="3" t="s">
        <v>44</v>
      </c>
    </row>
    <row r="20" spans="1:2">
      <c r="A20" s="3" t="s">
        <v>63</v>
      </c>
      <c r="B20" s="3" t="s">
        <v>49</v>
      </c>
    </row>
    <row r="21" spans="1:2">
      <c r="A21" s="3" t="s">
        <v>64</v>
      </c>
      <c r="B21" s="3" t="s">
        <v>46</v>
      </c>
    </row>
    <row r="22" spans="1:2">
      <c r="A22" s="3" t="s">
        <v>65</v>
      </c>
      <c r="B22" s="3" t="s">
        <v>40</v>
      </c>
    </row>
    <row r="23" spans="1:2">
      <c r="A23" s="3" t="s">
        <v>66</v>
      </c>
      <c r="B23" s="3" t="s">
        <v>44</v>
      </c>
    </row>
    <row r="24" spans="1:2">
      <c r="A24" s="3" t="s">
        <v>67</v>
      </c>
      <c r="B24" s="3" t="s">
        <v>46</v>
      </c>
    </row>
    <row r="25" spans="1:2">
      <c r="A25" s="3" t="s">
        <v>68</v>
      </c>
      <c r="B25" s="3" t="s">
        <v>40</v>
      </c>
    </row>
    <row r="26" spans="1:2">
      <c r="A26" s="3" t="s">
        <v>69</v>
      </c>
      <c r="B26" s="3" t="s">
        <v>44</v>
      </c>
    </row>
    <row r="27" spans="1:2">
      <c r="A27" s="3" t="s">
        <v>70</v>
      </c>
      <c r="B27" s="3" t="s">
        <v>57</v>
      </c>
    </row>
    <row r="28" spans="1:2">
      <c r="A28" s="3" t="s">
        <v>71</v>
      </c>
      <c r="B28" s="3" t="s">
        <v>44</v>
      </c>
    </row>
    <row r="29" spans="1:2">
      <c r="A29" s="3" t="s">
        <v>72</v>
      </c>
      <c r="B29" s="3" t="s">
        <v>73</v>
      </c>
    </row>
    <row r="30" spans="1:2">
      <c r="A30" s="3" t="s">
        <v>74</v>
      </c>
      <c r="B30" s="3" t="s">
        <v>44</v>
      </c>
    </row>
    <row r="31" spans="1:2">
      <c r="A31" s="3" t="s">
        <v>75</v>
      </c>
      <c r="B31" s="3" t="s">
        <v>49</v>
      </c>
    </row>
    <row r="32" spans="1:2">
      <c r="A32" s="3" t="s">
        <v>76</v>
      </c>
      <c r="B32" s="3" t="s">
        <v>46</v>
      </c>
    </row>
    <row r="33" spans="1:2">
      <c r="A33" s="3" t="s">
        <v>77</v>
      </c>
      <c r="B33" s="3" t="s">
        <v>57</v>
      </c>
    </row>
    <row r="34" spans="1:2">
      <c r="A34" s="3" t="s">
        <v>78</v>
      </c>
      <c r="B34" s="3" t="s">
        <v>46</v>
      </c>
    </row>
    <row r="35" spans="1:2">
      <c r="A35" s="3" t="s">
        <v>79</v>
      </c>
      <c r="B35" s="3" t="s">
        <v>44</v>
      </c>
    </row>
    <row r="36" spans="1:2">
      <c r="A36" s="3" t="s">
        <v>80</v>
      </c>
      <c r="B36" s="3" t="s">
        <v>44</v>
      </c>
    </row>
    <row r="37" spans="1:2">
      <c r="A37" s="3" t="s">
        <v>81</v>
      </c>
      <c r="B37" s="3" t="s">
        <v>51</v>
      </c>
    </row>
    <row r="38" spans="1:2">
      <c r="A38" s="3" t="s">
        <v>82</v>
      </c>
      <c r="B38" s="3" t="s">
        <v>46</v>
      </c>
    </row>
    <row r="39" spans="1:2">
      <c r="A39" s="3" t="s">
        <v>83</v>
      </c>
      <c r="B39" s="3" t="s">
        <v>44</v>
      </c>
    </row>
    <row r="40" spans="1:2">
      <c r="A40" s="3" t="s">
        <v>84</v>
      </c>
      <c r="B40" s="3" t="s">
        <v>40</v>
      </c>
    </row>
    <row r="41" spans="1:2">
      <c r="A41" s="3" t="s">
        <v>85</v>
      </c>
      <c r="B41" s="3" t="s">
        <v>49</v>
      </c>
    </row>
    <row r="42" spans="1:2">
      <c r="A42" s="3" t="s">
        <v>86</v>
      </c>
      <c r="B42" s="3" t="s">
        <v>49</v>
      </c>
    </row>
    <row r="43" spans="1:2">
      <c r="A43" s="3" t="s">
        <v>87</v>
      </c>
      <c r="B43" s="3" t="s">
        <v>42</v>
      </c>
    </row>
    <row r="44" spans="1:2">
      <c r="A44" s="3" t="s">
        <v>88</v>
      </c>
      <c r="B44" s="3" t="s">
        <v>40</v>
      </c>
    </row>
    <row r="45" spans="1:2">
      <c r="A45" s="3" t="s">
        <v>89</v>
      </c>
      <c r="B45" s="3" t="s">
        <v>44</v>
      </c>
    </row>
    <row r="46" spans="1:2">
      <c r="A46" s="3" t="s">
        <v>90</v>
      </c>
      <c r="B46" s="3" t="s">
        <v>42</v>
      </c>
    </row>
    <row r="47" spans="1:2">
      <c r="A47" s="3" t="s">
        <v>91</v>
      </c>
      <c r="B47" s="3" t="s">
        <v>49</v>
      </c>
    </row>
    <row r="48" spans="1:2">
      <c r="A48" s="3" t="s">
        <v>92</v>
      </c>
      <c r="B48" s="3" t="s">
        <v>46</v>
      </c>
    </row>
    <row r="49" spans="1:2">
      <c r="A49" s="3" t="s">
        <v>93</v>
      </c>
      <c r="B49" s="3" t="s">
        <v>44</v>
      </c>
    </row>
    <row r="50" spans="1:2">
      <c r="A50" s="3" t="s">
        <v>94</v>
      </c>
      <c r="B50" s="3" t="s">
        <v>46</v>
      </c>
    </row>
    <row r="51" spans="1:2">
      <c r="A51" s="3" t="s">
        <v>95</v>
      </c>
      <c r="B51" s="3" t="s">
        <v>40</v>
      </c>
    </row>
    <row r="52" spans="1:2">
      <c r="A52" s="3" t="s">
        <v>96</v>
      </c>
      <c r="B52" s="3" t="s">
        <v>44</v>
      </c>
    </row>
    <row r="53" spans="1:2">
      <c r="A53" s="3" t="s">
        <v>97</v>
      </c>
      <c r="B53" s="3" t="s">
        <v>57</v>
      </c>
    </row>
    <row r="54" spans="1:2">
      <c r="A54" s="3" t="s">
        <v>98</v>
      </c>
      <c r="B54" s="3" t="s">
        <v>42</v>
      </c>
    </row>
    <row r="55" spans="1:2">
      <c r="A55" s="3" t="s">
        <v>99</v>
      </c>
      <c r="B55" s="3" t="s">
        <v>42</v>
      </c>
    </row>
    <row r="56" spans="1:2">
      <c r="A56" s="3" t="s">
        <v>100</v>
      </c>
      <c r="B56" s="3" t="s">
        <v>44</v>
      </c>
    </row>
    <row r="57" spans="1:2">
      <c r="A57" s="3" t="s">
        <v>101</v>
      </c>
      <c r="B57" s="3" t="s">
        <v>40</v>
      </c>
    </row>
    <row r="58" spans="1:2">
      <c r="A58" s="3" t="s">
        <v>102</v>
      </c>
      <c r="B58" s="3" t="s">
        <v>42</v>
      </c>
    </row>
    <row r="59" spans="1:2">
      <c r="A59" s="3" t="s">
        <v>103</v>
      </c>
      <c r="B59" s="3" t="s">
        <v>44</v>
      </c>
    </row>
    <row r="60" spans="1:2">
      <c r="A60" s="3" t="s">
        <v>104</v>
      </c>
      <c r="B60" s="3" t="s">
        <v>42</v>
      </c>
    </row>
    <row r="61" spans="1:2">
      <c r="A61" s="3" t="s">
        <v>105</v>
      </c>
      <c r="B61" s="3" t="s">
        <v>46</v>
      </c>
    </row>
    <row r="62" spans="1:2">
      <c r="A62" s="3" t="s">
        <v>106</v>
      </c>
      <c r="B62" s="3" t="s">
        <v>42</v>
      </c>
    </row>
    <row r="63" spans="1:2">
      <c r="A63" s="3" t="s">
        <v>107</v>
      </c>
      <c r="B63" s="3" t="s">
        <v>46</v>
      </c>
    </row>
    <row r="64" spans="1:2">
      <c r="A64" s="3" t="s">
        <v>108</v>
      </c>
      <c r="B64" s="3" t="s">
        <v>57</v>
      </c>
    </row>
    <row r="65" spans="1:2">
      <c r="A65" s="3" t="s">
        <v>109</v>
      </c>
      <c r="B65" s="3" t="s">
        <v>40</v>
      </c>
    </row>
    <row r="66" spans="1:2">
      <c r="A66" s="3" t="s">
        <v>110</v>
      </c>
      <c r="B66" s="3" t="s">
        <v>42</v>
      </c>
    </row>
    <row r="67" spans="1:2">
      <c r="A67" s="3" t="s">
        <v>111</v>
      </c>
      <c r="B67" s="3" t="s">
        <v>57</v>
      </c>
    </row>
    <row r="68" spans="1:2">
      <c r="A68" s="3" t="s">
        <v>112</v>
      </c>
      <c r="B68" s="3" t="s">
        <v>57</v>
      </c>
    </row>
    <row r="69" spans="1:2">
      <c r="A69" s="3" t="s">
        <v>113</v>
      </c>
      <c r="B69" s="3" t="s">
        <v>38</v>
      </c>
    </row>
    <row r="70" spans="1:2">
      <c r="A70" s="3" t="s">
        <v>114</v>
      </c>
      <c r="B70" s="3" t="s">
        <v>42</v>
      </c>
    </row>
    <row r="71" spans="1:2">
      <c r="A71" s="3" t="s">
        <v>115</v>
      </c>
      <c r="B71" s="3" t="s">
        <v>42</v>
      </c>
    </row>
    <row r="72" spans="1:2">
      <c r="A72" s="3" t="s">
        <v>116</v>
      </c>
      <c r="B72" s="3" t="s">
        <v>38</v>
      </c>
    </row>
    <row r="73" spans="1:2">
      <c r="A73" s="3" t="s">
        <v>117</v>
      </c>
      <c r="B73" s="3" t="s">
        <v>42</v>
      </c>
    </row>
    <row r="74" spans="1:2">
      <c r="A74" s="3" t="s">
        <v>118</v>
      </c>
      <c r="B74" s="3" t="s">
        <v>49</v>
      </c>
    </row>
    <row r="75" spans="1:2">
      <c r="A75" s="3" t="s">
        <v>119</v>
      </c>
      <c r="B75" s="3" t="s">
        <v>57</v>
      </c>
    </row>
    <row r="76" spans="1:2">
      <c r="A76" s="3" t="s">
        <v>120</v>
      </c>
      <c r="B76" s="3" t="s">
        <v>42</v>
      </c>
    </row>
    <row r="77" spans="1:2">
      <c r="A77" s="3" t="s">
        <v>121</v>
      </c>
      <c r="B77" s="3" t="s">
        <v>38</v>
      </c>
    </row>
    <row r="78" spans="1:2">
      <c r="A78" s="3" t="s">
        <v>122</v>
      </c>
      <c r="B78" s="3" t="s">
        <v>40</v>
      </c>
    </row>
    <row r="79" spans="1:2">
      <c r="A79" s="3" t="s">
        <v>123</v>
      </c>
      <c r="B79" s="3" t="s">
        <v>44</v>
      </c>
    </row>
    <row r="80" spans="1:2">
      <c r="A80" s="3" t="s">
        <v>124</v>
      </c>
      <c r="B80" s="3" t="s">
        <v>57</v>
      </c>
    </row>
    <row r="81" spans="1:2">
      <c r="A81" s="3" t="s">
        <v>125</v>
      </c>
      <c r="B81" s="3" t="s">
        <v>38</v>
      </c>
    </row>
    <row r="82" spans="1:2">
      <c r="A82" s="3" t="s">
        <v>126</v>
      </c>
      <c r="B82" s="3" t="s">
        <v>40</v>
      </c>
    </row>
    <row r="83" spans="1:2">
      <c r="A83" s="3" t="s">
        <v>127</v>
      </c>
      <c r="B83" s="3" t="s">
        <v>40</v>
      </c>
    </row>
    <row r="84" spans="1:2">
      <c r="A84" s="3" t="s">
        <v>128</v>
      </c>
      <c r="B84" s="3" t="s">
        <v>38</v>
      </c>
    </row>
    <row r="85" spans="1:2">
      <c r="A85" s="3" t="s">
        <v>129</v>
      </c>
      <c r="B85" s="3" t="s">
        <v>42</v>
      </c>
    </row>
    <row r="86" spans="1:2">
      <c r="A86" s="3" t="s">
        <v>130</v>
      </c>
      <c r="B86" s="3" t="s">
        <v>40</v>
      </c>
    </row>
    <row r="87" spans="1:2">
      <c r="A87" s="3" t="s">
        <v>131</v>
      </c>
      <c r="B87" s="3" t="s">
        <v>42</v>
      </c>
    </row>
    <row r="88" spans="1:2">
      <c r="A88" s="3" t="s">
        <v>132</v>
      </c>
      <c r="B88" s="3" t="s">
        <v>57</v>
      </c>
    </row>
    <row r="89" spans="1:2">
      <c r="A89" s="3" t="s">
        <v>133</v>
      </c>
      <c r="B89" s="3" t="s">
        <v>40</v>
      </c>
    </row>
    <row r="90" spans="1:2">
      <c r="A90" s="3" t="s">
        <v>134</v>
      </c>
      <c r="B90" s="3" t="s">
        <v>57</v>
      </c>
    </row>
    <row r="91" spans="1:2">
      <c r="A91" s="3" t="s">
        <v>135</v>
      </c>
      <c r="B91" s="3" t="s">
        <v>42</v>
      </c>
    </row>
    <row r="92" spans="1:2">
      <c r="A92" s="3" t="s">
        <v>136</v>
      </c>
      <c r="B92" s="3" t="s">
        <v>57</v>
      </c>
    </row>
    <row r="93" spans="1:2">
      <c r="A93" s="3" t="s">
        <v>137</v>
      </c>
      <c r="B93" s="3" t="s">
        <v>46</v>
      </c>
    </row>
    <row r="94" spans="1:2">
      <c r="A94" s="3" t="s">
        <v>138</v>
      </c>
      <c r="B94" s="3" t="s">
        <v>40</v>
      </c>
    </row>
    <row r="95" spans="1:2">
      <c r="A95" s="3" t="s">
        <v>139</v>
      </c>
      <c r="B95" s="3" t="s">
        <v>57</v>
      </c>
    </row>
    <row r="96" spans="1:2">
      <c r="A96" s="3" t="s">
        <v>140</v>
      </c>
      <c r="B96" s="3" t="s">
        <v>40</v>
      </c>
    </row>
    <row r="97" spans="1:2">
      <c r="A97" s="3" t="s">
        <v>141</v>
      </c>
      <c r="B97" s="3" t="s">
        <v>49</v>
      </c>
    </row>
    <row r="98" spans="1:2">
      <c r="A98" s="3" t="s">
        <v>142</v>
      </c>
      <c r="B98" s="3" t="s">
        <v>44</v>
      </c>
    </row>
    <row r="99" spans="1:2">
      <c r="A99" s="3" t="s">
        <v>143</v>
      </c>
      <c r="B99" s="3" t="s">
        <v>44</v>
      </c>
    </row>
    <row r="100" spans="1:2">
      <c r="A100" s="3" t="s">
        <v>144</v>
      </c>
      <c r="B100" s="3" t="s">
        <v>44</v>
      </c>
    </row>
    <row r="101" spans="1:2">
      <c r="A101" s="3" t="s">
        <v>145</v>
      </c>
      <c r="B101" s="3" t="s">
        <v>42</v>
      </c>
    </row>
    <row r="102" spans="1:2">
      <c r="A102" s="3" t="s">
        <v>146</v>
      </c>
      <c r="B102" s="3" t="s">
        <v>51</v>
      </c>
    </row>
    <row r="103" spans="1:2">
      <c r="A103" s="3" t="s">
        <v>147</v>
      </c>
      <c r="B103" s="3" t="s">
        <v>46</v>
      </c>
    </row>
    <row r="104" spans="1:2">
      <c r="A104" s="3" t="s">
        <v>148</v>
      </c>
      <c r="B104" s="3" t="s">
        <v>44</v>
      </c>
    </row>
    <row r="105" spans="1:2">
      <c r="A105" s="3" t="s">
        <v>149</v>
      </c>
      <c r="B105" s="3" t="s">
        <v>42</v>
      </c>
    </row>
    <row r="106" spans="1:2">
      <c r="A106" s="3" t="s">
        <v>150</v>
      </c>
      <c r="B106" s="3" t="s">
        <v>38</v>
      </c>
    </row>
    <row r="107" spans="1:2">
      <c r="A107" s="3" t="s">
        <v>151</v>
      </c>
      <c r="B107" s="3" t="s">
        <v>57</v>
      </c>
    </row>
    <row r="108" spans="1:2">
      <c r="A108" s="3" t="s">
        <v>152</v>
      </c>
      <c r="B108" s="3" t="s">
        <v>46</v>
      </c>
    </row>
    <row r="109" spans="1:2">
      <c r="A109" s="3" t="s">
        <v>153</v>
      </c>
      <c r="B109" s="3" t="s">
        <v>57</v>
      </c>
    </row>
    <row r="110" spans="1:2">
      <c r="A110" s="3" t="s">
        <v>154</v>
      </c>
      <c r="B110" s="3" t="s">
        <v>46</v>
      </c>
    </row>
    <row r="111" spans="1:2">
      <c r="A111" s="3" t="s">
        <v>155</v>
      </c>
      <c r="B111" s="3" t="s">
        <v>46</v>
      </c>
    </row>
    <row r="112" spans="1:2">
      <c r="A112" s="3" t="s">
        <v>156</v>
      </c>
      <c r="B112" s="3" t="s">
        <v>57</v>
      </c>
    </row>
    <row r="113" spans="1:2">
      <c r="A113" s="3" t="s">
        <v>157</v>
      </c>
      <c r="B113" s="3" t="s">
        <v>40</v>
      </c>
    </row>
    <row r="114" spans="1:2">
      <c r="A114" s="3" t="s">
        <v>158</v>
      </c>
      <c r="B114" s="3" t="s">
        <v>42</v>
      </c>
    </row>
    <row r="115" spans="1:2">
      <c r="A115" s="3" t="s">
        <v>159</v>
      </c>
      <c r="B115" s="3" t="s">
        <v>38</v>
      </c>
    </row>
    <row r="116" spans="1:2">
      <c r="A116" s="3" t="s">
        <v>160</v>
      </c>
      <c r="B116" s="3" t="s">
        <v>38</v>
      </c>
    </row>
    <row r="117" spans="1:2">
      <c r="A117" s="3" t="s">
        <v>161</v>
      </c>
      <c r="B117" s="3" t="s">
        <v>44</v>
      </c>
    </row>
    <row r="118" spans="1:2">
      <c r="A118" s="3" t="s">
        <v>162</v>
      </c>
      <c r="B118" s="3" t="s">
        <v>40</v>
      </c>
    </row>
    <row r="119" spans="1:2">
      <c r="A119" s="3" t="s">
        <v>163</v>
      </c>
      <c r="B119" s="3" t="s">
        <v>40</v>
      </c>
    </row>
    <row r="120" spans="1:2">
      <c r="A120" s="3" t="s">
        <v>164</v>
      </c>
      <c r="B120" s="3" t="s">
        <v>44</v>
      </c>
    </row>
    <row r="121" spans="1:2">
      <c r="A121" s="3" t="s">
        <v>165</v>
      </c>
      <c r="B121" s="3" t="s">
        <v>38</v>
      </c>
    </row>
    <row r="122" spans="1:2">
      <c r="A122" s="3" t="s">
        <v>166</v>
      </c>
      <c r="B122" s="3" t="s">
        <v>44</v>
      </c>
    </row>
    <row r="123" spans="1:2">
      <c r="A123" s="3" t="s">
        <v>167</v>
      </c>
      <c r="B123" s="3" t="s">
        <v>40</v>
      </c>
    </row>
    <row r="124" spans="1:2">
      <c r="A124" s="3" t="s">
        <v>168</v>
      </c>
      <c r="B124" s="3" t="s">
        <v>38</v>
      </c>
    </row>
    <row r="125" spans="1:2">
      <c r="A125" s="3" t="s">
        <v>169</v>
      </c>
      <c r="B125" s="3" t="s">
        <v>57</v>
      </c>
    </row>
    <row r="126" spans="1:2">
      <c r="A126" s="3" t="s">
        <v>170</v>
      </c>
      <c r="B126" s="3" t="s">
        <v>40</v>
      </c>
    </row>
    <row r="127" spans="1:2">
      <c r="A127" s="3" t="s">
        <v>171</v>
      </c>
      <c r="B127" s="3" t="s">
        <v>40</v>
      </c>
    </row>
    <row r="128" spans="1:2">
      <c r="A128" s="3" t="s">
        <v>172</v>
      </c>
      <c r="B128" s="3" t="s">
        <v>44</v>
      </c>
    </row>
    <row r="129" spans="1:2">
      <c r="A129" s="3" t="s">
        <v>173</v>
      </c>
      <c r="B129" s="3" t="s">
        <v>42</v>
      </c>
    </row>
    <row r="130" spans="1:2">
      <c r="A130" s="3" t="s">
        <v>174</v>
      </c>
      <c r="B130" s="3" t="s">
        <v>57</v>
      </c>
    </row>
    <row r="131" spans="1:2">
      <c r="A131" s="3" t="s">
        <v>175</v>
      </c>
      <c r="B131" s="3" t="s">
        <v>49</v>
      </c>
    </row>
    <row r="132" spans="1:2">
      <c r="A132" s="3" t="s">
        <v>176</v>
      </c>
      <c r="B132" s="3" t="s">
        <v>49</v>
      </c>
    </row>
    <row r="133" spans="1:2">
      <c r="A133" s="3" t="s">
        <v>177</v>
      </c>
      <c r="B133" s="3" t="s">
        <v>46</v>
      </c>
    </row>
    <row r="134" spans="1:2">
      <c r="A134" s="3" t="s">
        <v>178</v>
      </c>
      <c r="B134" s="3" t="s">
        <v>44</v>
      </c>
    </row>
    <row r="135" spans="1:2">
      <c r="A135" s="3" t="s">
        <v>179</v>
      </c>
      <c r="B135" s="3" t="s">
        <v>42</v>
      </c>
    </row>
    <row r="136" spans="1:2">
      <c r="A136" s="3" t="s">
        <v>180</v>
      </c>
      <c r="B136" s="3" t="s">
        <v>42</v>
      </c>
    </row>
    <row r="137" spans="1:2">
      <c r="A137" s="3" t="s">
        <v>181</v>
      </c>
      <c r="B137" s="3" t="s">
        <v>57</v>
      </c>
    </row>
    <row r="138" spans="1:2">
      <c r="A138" s="3" t="s">
        <v>182</v>
      </c>
      <c r="B138" s="3" t="s">
        <v>40</v>
      </c>
    </row>
    <row r="139" spans="1:2">
      <c r="A139" s="3" t="s">
        <v>183</v>
      </c>
      <c r="B139" s="3" t="s">
        <v>57</v>
      </c>
    </row>
    <row r="140" spans="1:2">
      <c r="A140" s="3" t="s">
        <v>184</v>
      </c>
      <c r="B140" s="3" t="s">
        <v>49</v>
      </c>
    </row>
    <row r="141" spans="1:2">
      <c r="A141" s="3" t="s">
        <v>185</v>
      </c>
      <c r="B141" s="3" t="s">
        <v>44</v>
      </c>
    </row>
    <row r="142" spans="1:2">
      <c r="A142" s="3" t="s">
        <v>186</v>
      </c>
      <c r="B142" s="3" t="s">
        <v>42</v>
      </c>
    </row>
    <row r="143" spans="1:2">
      <c r="A143" s="3" t="s">
        <v>187</v>
      </c>
      <c r="B143" s="3" t="s">
        <v>40</v>
      </c>
    </row>
    <row r="144" spans="1:2">
      <c r="A144" s="3" t="s">
        <v>188</v>
      </c>
      <c r="B144" s="3" t="s">
        <v>49</v>
      </c>
    </row>
    <row r="145" spans="1:2">
      <c r="A145" s="3" t="s">
        <v>189</v>
      </c>
      <c r="B145" s="3" t="s">
        <v>44</v>
      </c>
    </row>
    <row r="146" spans="1:2">
      <c r="A146" s="3" t="s">
        <v>190</v>
      </c>
      <c r="B146" s="3" t="s">
        <v>40</v>
      </c>
    </row>
    <row r="147" spans="1:2">
      <c r="A147" s="3" t="s">
        <v>191</v>
      </c>
      <c r="B147" s="3" t="s">
        <v>38</v>
      </c>
    </row>
    <row r="148" spans="1:2">
      <c r="A148" s="3" t="s">
        <v>192</v>
      </c>
      <c r="B148" s="3" t="s">
        <v>42</v>
      </c>
    </row>
    <row r="149" spans="1:2">
      <c r="A149" s="3" t="s">
        <v>193</v>
      </c>
      <c r="B149" s="3" t="s">
        <v>73</v>
      </c>
    </row>
    <row r="150" spans="1:2">
      <c r="A150" s="3" t="s">
        <v>194</v>
      </c>
      <c r="B150" s="3" t="s">
        <v>46</v>
      </c>
    </row>
    <row r="151" spans="1:2">
      <c r="A151" s="3" t="s">
        <v>195</v>
      </c>
      <c r="B151" s="3" t="s">
        <v>46</v>
      </c>
    </row>
    <row r="152" spans="1:2">
      <c r="A152" s="3" t="s">
        <v>196</v>
      </c>
      <c r="B152" s="3" t="s">
        <v>57</v>
      </c>
    </row>
    <row r="153" spans="1:2">
      <c r="A153" s="3" t="s">
        <v>197</v>
      </c>
      <c r="B153" s="3" t="s">
        <v>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Input Sheet</vt:lpstr>
      <vt:lpstr>Valuation Output</vt:lpstr>
      <vt:lpstr>Checks</vt:lpstr>
      <vt:lpstr>Option value</vt:lpstr>
      <vt:lpstr>R&amp; D converter</vt:lpstr>
      <vt:lpstr>Operating lease converter</vt:lpstr>
      <vt:lpstr>Cost of capital worksheet</vt:lpstr>
      <vt:lpstr>Synthetic rating</vt:lpstr>
      <vt:lpstr>Countries</vt:lpstr>
      <vt:lpstr>Industries</vt:lpstr>
      <vt:lpstr>Industry Averages(US)</vt:lpstr>
      <vt:lpstr>Global industry averages</vt:lpstr>
      <vt:lpstr>Country equity risk premiums</vt:lpstr>
      <vt:lpstr>Answer Keys</vt:lpstr>
      <vt:lpstr>TTM Calc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Hogan</dc:creator>
  <cp:lastModifiedBy>Mark Hogan</cp:lastModifiedBy>
  <dcterms:created xsi:type="dcterms:W3CDTF">2018-03-02T20:05:44Z</dcterms:created>
  <dcterms:modified xsi:type="dcterms:W3CDTF">2024-02-06T18:14:36Z</dcterms:modified>
</cp:coreProperties>
</file>