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Mark\Documents\1Work\1equity research - company folders\CSGP\"/>
    </mc:Choice>
  </mc:AlternateContent>
  <xr:revisionPtr revIDLastSave="0" documentId="13_ncr:1_{B239FA23-F5BF-4EE2-A211-3439F0FF1D93}" xr6:coauthVersionLast="47" xr6:coauthVersionMax="47" xr10:uidLastSave="{00000000-0000-0000-0000-000000000000}"/>
  <bookViews>
    <workbookView xWindow="195" yWindow="1605" windowWidth="21870" windowHeight="13470" tabRatio="857"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 name="Failure Rate worksheet" sheetId="18" r:id="rId16"/>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C9" i="1"/>
  <c r="B9" i="1"/>
  <c r="L29" i="18" l="1"/>
  <c r="K29" i="18"/>
  <c r="J29" i="18"/>
  <c r="I29" i="18"/>
  <c r="H29" i="18"/>
  <c r="G29" i="18"/>
  <c r="F29" i="18"/>
  <c r="E29" i="18"/>
  <c r="D29" i="18"/>
  <c r="C29" i="18"/>
  <c r="L28" i="18"/>
  <c r="K28" i="18"/>
  <c r="J28" i="18"/>
  <c r="I28" i="18"/>
  <c r="H28" i="18"/>
  <c r="G28" i="18"/>
  <c r="F28" i="18"/>
  <c r="E28" i="18"/>
  <c r="D28" i="18"/>
  <c r="C28" i="18"/>
  <c r="L27" i="18"/>
  <c r="K27" i="18"/>
  <c r="J27" i="18"/>
  <c r="I27" i="18"/>
  <c r="H27" i="18"/>
  <c r="G27" i="18"/>
  <c r="F27" i="18"/>
  <c r="E27" i="18"/>
  <c r="D27" i="18"/>
  <c r="C27" i="18"/>
  <c r="L26" i="18"/>
  <c r="K26" i="18"/>
  <c r="J26" i="18"/>
  <c r="I26" i="18"/>
  <c r="H26" i="18"/>
  <c r="G26" i="18"/>
  <c r="F26" i="18"/>
  <c r="E26" i="18"/>
  <c r="D26" i="18"/>
  <c r="C26" i="18"/>
  <c r="L25" i="18"/>
  <c r="K25" i="18"/>
  <c r="J25" i="18"/>
  <c r="I25" i="18"/>
  <c r="H25" i="18"/>
  <c r="G25" i="18"/>
  <c r="F25" i="18"/>
  <c r="E25" i="18"/>
  <c r="D25" i="18"/>
  <c r="C25" i="18"/>
  <c r="L24" i="18"/>
  <c r="K24" i="18"/>
  <c r="J24" i="18"/>
  <c r="I24" i="18"/>
  <c r="H24" i="18"/>
  <c r="G24" i="18"/>
  <c r="F24" i="18"/>
  <c r="E24" i="18"/>
  <c r="D24" i="18"/>
  <c r="C24" i="18"/>
  <c r="L23" i="18"/>
  <c r="K23" i="18"/>
  <c r="J23" i="18"/>
  <c r="I23" i="18"/>
  <c r="H23" i="18"/>
  <c r="G23" i="18"/>
  <c r="F23" i="18"/>
  <c r="E23" i="18"/>
  <c r="D23" i="18"/>
  <c r="C23" i="18"/>
  <c r="L22" i="18"/>
  <c r="K22" i="18"/>
  <c r="J22" i="18"/>
  <c r="I22" i="18"/>
  <c r="H22" i="18"/>
  <c r="G22" i="18"/>
  <c r="F22" i="18"/>
  <c r="E22" i="18"/>
  <c r="D22" i="18"/>
  <c r="C22" i="18"/>
  <c r="L21" i="18"/>
  <c r="K21" i="18"/>
  <c r="J21" i="18"/>
  <c r="I21" i="18"/>
  <c r="H21" i="18"/>
  <c r="G21" i="18"/>
  <c r="F21" i="18"/>
  <c r="E21" i="18"/>
  <c r="D21" i="18"/>
  <c r="C21" i="18"/>
  <c r="L20" i="18"/>
  <c r="K20" i="18"/>
  <c r="J20" i="18"/>
  <c r="I20" i="18"/>
  <c r="H20" i="18"/>
  <c r="G20" i="18"/>
  <c r="F20" i="18"/>
  <c r="E20" i="18"/>
  <c r="D20" i="18"/>
  <c r="C20" i="18"/>
  <c r="L19" i="18"/>
  <c r="K19" i="18"/>
  <c r="J19" i="18"/>
  <c r="I19" i="18"/>
  <c r="H19" i="18"/>
  <c r="G19" i="18"/>
  <c r="F19" i="18"/>
  <c r="E19" i="18"/>
  <c r="D19" i="18"/>
  <c r="C19" i="18"/>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F3" i="6" s="1"/>
  <c r="D32" i="17"/>
  <c r="D8" i="6"/>
  <c r="E8" i="6"/>
  <c r="G2" i="6" l="1"/>
  <c r="G3" i="6" s="1"/>
  <c r="E32" i="17"/>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M40" i="6"/>
  <c r="B31" i="10" l="1"/>
  <c r="C41" i="10" s="1"/>
  <c r="F5" i="12"/>
  <c r="F6" i="12"/>
  <c r="D9" i="12" s="1"/>
  <c r="B5" i="6"/>
  <c r="B4" i="6" s="1"/>
  <c r="B25" i="6"/>
  <c r="B39" i="6"/>
  <c r="C39" i="6" s="1"/>
  <c r="D39" i="6" s="1"/>
  <c r="E39" i="6" s="1"/>
  <c r="F39" i="6" s="1"/>
  <c r="G39" i="6" s="1"/>
  <c r="H39" i="6" s="1"/>
  <c r="I39" i="6" s="1"/>
  <c r="J39" i="6" s="1"/>
  <c r="K39" i="6" s="1"/>
  <c r="L39" i="6" s="1"/>
  <c r="D11" i="12" l="1"/>
  <c r="D13" i="12" s="1"/>
  <c r="D10" i="12"/>
  <c r="I23" i="1"/>
  <c r="F4" i="6"/>
  <c r="F5" i="6" s="1"/>
  <c r="L4" i="6"/>
  <c r="G4" i="6"/>
  <c r="G5" i="6" s="1"/>
  <c r="E4" i="6"/>
  <c r="E5" i="6" s="1"/>
  <c r="H4" i="6"/>
  <c r="H5" i="6" s="1"/>
  <c r="C4" i="6"/>
  <c r="C5" i="6" s="1"/>
  <c r="I4" i="6"/>
  <c r="I5" i="6" s="1"/>
  <c r="K4" i="6"/>
  <c r="K5" i="6" s="1"/>
  <c r="D4" i="6"/>
  <c r="D5" i="6" s="1"/>
  <c r="J4" i="6"/>
  <c r="J5" i="6" s="1"/>
  <c r="B7" i="6"/>
  <c r="B40" i="6" s="1"/>
  <c r="L5" i="6" l="1"/>
  <c r="M4" i="6"/>
  <c r="M5" i="6" s="1"/>
  <c r="C7" i="6"/>
  <c r="C10" i="6"/>
  <c r="D7" i="6" s="1"/>
  <c r="C15" i="9"/>
  <c r="B23" i="10"/>
  <c r="I57" i="17" l="1"/>
  <c r="K58" i="17" s="1"/>
  <c r="K59" i="17" s="1"/>
  <c r="D10" i="6"/>
  <c r="D9" i="6"/>
  <c r="D40" i="6"/>
  <c r="C30" i="17"/>
  <c r="C34" i="17" s="1"/>
  <c r="C40" i="10"/>
  <c r="C42" i="10" s="1"/>
  <c r="C39" i="10"/>
  <c r="C46" i="10" s="1"/>
  <c r="C48" i="10"/>
  <c r="I31" i="1"/>
  <c r="N5" i="6"/>
  <c r="M7" i="6"/>
  <c r="C9" i="6"/>
  <c r="B30" i="17"/>
  <c r="B34" i="17" s="1"/>
  <c r="C40" i="6"/>
  <c r="C26" i="9"/>
  <c r="C27" i="9"/>
  <c r="C22" i="9"/>
  <c r="C23" i="9"/>
  <c r="C24" i="9"/>
  <c r="C25" i="9"/>
  <c r="E7" i="6" l="1"/>
  <c r="E10" i="6"/>
  <c r="C28" i="9"/>
  <c r="M8" i="6"/>
  <c r="N8" i="6" s="1"/>
  <c r="C43" i="10"/>
  <c r="B48" i="10" s="1"/>
  <c r="C47" i="17" s="1"/>
  <c r="C49" i="17" s="1"/>
  <c r="E46" i="10"/>
  <c r="C47" i="10" s="1"/>
  <c r="F7" i="6" l="1"/>
  <c r="F10" i="6"/>
  <c r="E40" i="6"/>
  <c r="D30" i="17"/>
  <c r="D34" i="17" s="1"/>
  <c r="E9" i="6"/>
  <c r="M9" i="6"/>
  <c r="B16" i="6" s="1"/>
  <c r="B18" i="6" s="1"/>
  <c r="F34" i="9"/>
  <c r="F33" i="9"/>
  <c r="F31" i="9"/>
  <c r="F32" i="9" s="1"/>
  <c r="D47" i="10"/>
  <c r="B47" i="10"/>
  <c r="G7" i="6" l="1"/>
  <c r="G10" i="6"/>
  <c r="F9" i="6"/>
  <c r="F40" i="6"/>
  <c r="E30" i="17"/>
  <c r="E34" i="17" s="1"/>
  <c r="E47" i="10"/>
  <c r="E48" i="10"/>
  <c r="B28" i="1" s="1"/>
  <c r="H7" i="6" l="1"/>
  <c r="H10" i="6"/>
  <c r="F30" i="17"/>
  <c r="F34" i="17" s="1"/>
  <c r="G9" i="6"/>
  <c r="G40" i="6"/>
  <c r="P42" i="1"/>
  <c r="L42" i="1"/>
  <c r="C12" i="6"/>
  <c r="J42" i="1"/>
  <c r="I10" i="6" l="1"/>
  <c r="I7" i="6"/>
  <c r="H40" i="6"/>
  <c r="H9" i="6"/>
  <c r="G30" i="17"/>
  <c r="G34" i="17" s="1"/>
  <c r="C13" i="6"/>
  <c r="D12" i="6"/>
  <c r="E12" i="6" s="1"/>
  <c r="F12" i="6" s="1"/>
  <c r="G12" i="6" s="1"/>
  <c r="H12" i="6" s="1"/>
  <c r="I12" i="6" s="1"/>
  <c r="J12" i="6" s="1"/>
  <c r="K12" i="6" s="1"/>
  <c r="L12" i="6" s="1"/>
  <c r="I40" i="6" l="1"/>
  <c r="H30" i="17"/>
  <c r="H34" i="17" s="1"/>
  <c r="I9" i="6"/>
  <c r="J10" i="6"/>
  <c r="J7" i="6"/>
  <c r="D13" i="6"/>
  <c r="C14" i="6"/>
  <c r="I30" i="17" l="1"/>
  <c r="I34" i="17" s="1"/>
  <c r="J40" i="6"/>
  <c r="J9" i="6"/>
  <c r="K10" i="6"/>
  <c r="K7" i="6"/>
  <c r="E13" i="6"/>
  <c r="D14" i="6"/>
  <c r="K40" i="6" l="1"/>
  <c r="K9" i="6"/>
  <c r="J30" i="17"/>
  <c r="J34" i="17" s="1"/>
  <c r="L7" i="6"/>
  <c r="L10" i="6"/>
  <c r="M10" i="6" s="1"/>
  <c r="F13" i="6"/>
  <c r="E14" i="6"/>
  <c r="K30" i="17" l="1"/>
  <c r="K34" i="17" s="1"/>
  <c r="L40" i="6"/>
  <c r="I32" i="1" s="1"/>
  <c r="L9" i="6"/>
  <c r="L30" i="17"/>
  <c r="L34" i="17" s="1"/>
  <c r="G13" i="6"/>
  <c r="F14" i="6"/>
  <c r="H13" i="6" l="1"/>
  <c r="G14" i="6"/>
  <c r="I13" i="6" l="1"/>
  <c r="H14" i="6"/>
  <c r="J13" i="6" l="1"/>
  <c r="I14" i="6"/>
  <c r="K13" i="6" l="1"/>
  <c r="J14" i="6"/>
  <c r="L13" i="6" l="1"/>
  <c r="K14" i="6"/>
  <c r="B19" i="6" l="1"/>
  <c r="L14" i="6"/>
  <c r="B20" i="6" s="1"/>
  <c r="B21" i="6" l="1"/>
  <c r="B24" i="6" s="1"/>
  <c r="B29" i="6" s="1"/>
  <c r="B31" i="6" s="1"/>
  <c r="B33" i="6" s="1"/>
  <c r="B35" i="6" l="1"/>
  <c r="C46" i="17"/>
  <c r="D35" i="6"/>
  <c r="E35" i="6" s="1"/>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Mark</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B16" authorId="1" shapeId="0" xr:uid="{734E7A4D-B63B-4991-9AF3-F79D01448A28}">
      <text>
        <r>
          <rPr>
            <b/>
            <sz val="9"/>
            <color indexed="81"/>
            <rFont val="Tahoma"/>
            <family val="2"/>
          </rPr>
          <t>Mark:</t>
        </r>
        <r>
          <rPr>
            <sz val="9"/>
            <color indexed="81"/>
            <rFont val="Tahoma"/>
            <family val="2"/>
          </rPr>
          <t xml:space="preserve">
Enter the market value of those non-cash assets whose earnings are (and will never) show up as part of operating income. 
Look for "Equity Investments" or "Other Non-Current Assets" or "Non-Marketable Securities" on the balance sheet.
The most common non-operating assets are minority holdings in other companies (which are not consoldiated). You can find the book value of these holdings on the balance sheet, but see if you can convert to market value. (I apply a price to book ratio, based on the sector that the company is in to the book value).</t>
        </r>
      </text>
    </comment>
    <comment ref="F16" authorId="0" shapeId="0" xr:uid="{09327BCC-58FA-42D2-B7C0-0093FEB2A1B1}">
      <text>
        <r>
          <rPr>
            <b/>
            <sz val="9"/>
            <color indexed="81"/>
            <rFont val="Tahoma"/>
            <family val="2"/>
          </rPr>
          <t>MHogan:</t>
        </r>
        <r>
          <rPr>
            <sz val="9"/>
            <color indexed="81"/>
            <rFont val="Tahoma"/>
            <family val="2"/>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family val="2"/>
          </rPr>
          <t>MHogan:</t>
        </r>
        <r>
          <rPr>
            <sz val="9"/>
            <color indexed="81"/>
            <rFont val="Tahoma"/>
            <family val="2"/>
          </rPr>
          <t xml:space="preserve">
This is is how much your operating income grew over the ten-year period.
</t>
        </r>
      </text>
    </comment>
    <comment ref="N8" authorId="0" shapeId="0" xr:uid="{89FF021A-6F32-46C0-81D0-5E60C42AD5C5}">
      <text>
        <r>
          <rPr>
            <b/>
            <sz val="9"/>
            <color indexed="81"/>
            <rFont val="Tahoma"/>
            <family val="2"/>
          </rPr>
          <t>MHogan:</t>
        </r>
        <r>
          <rPr>
            <sz val="9"/>
            <color indexed="81"/>
            <rFont val="Tahoma"/>
            <family val="2"/>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family val="2"/>
          </rPr>
          <t>MHogan:</t>
        </r>
        <r>
          <rPr>
            <sz val="9"/>
            <color indexed="81"/>
            <rFont val="Tahoma"/>
            <family val="2"/>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<sst xmlns="http://schemas.openxmlformats.org/spreadsheetml/2006/main" count="1533" uniqueCount="709">
  <si>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</si>
  <si>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</si>
  <si>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</si>
  <si>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</si>
  <si>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</si>
  <si>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</si>
  <si>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</si>
  <si>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</si>
  <si>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</si>
  <si>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</si>
  <si>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</si>
  <si>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</si>
  <si>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</si>
  <si>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</si>
  <si>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</si>
  <si>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</si>
  <si>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</si>
  <si>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</si>
  <si>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</si>
  <si>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</si>
  <si>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</si>
  <si>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</si>
  <si>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</si>
  <si>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</si>
  <si>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</si>
  <si>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</si>
  <si>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</si>
  <si>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</si>
  <si>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</si>
  <si>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</si>
  <si>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</si>
  <si>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</si>
  <si>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</si>
  <si>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</si>
  <si>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</si>
  <si>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</si>
  <si>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</si>
  <si>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</si>
  <si>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</si>
  <si>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</si>
  <si>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</si>
  <si>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</si>
  <si>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</si>
  <si>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</si>
  <si>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</si>
  <si>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</si>
  <si>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</si>
  <si>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</si>
  <si>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</si>
  <si>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</si>
  <si>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</si>
  <si>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</si>
  <si>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</si>
  <si>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</si>
  <si>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</si>
  <si>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</si>
  <si>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</si>
  <si>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</si>
  <si>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</si>
  <si>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</si>
  <si>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</si>
  <si>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</si>
  <si>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</si>
  <si>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</si>
  <si>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</si>
  <si>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</si>
  <si>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</si>
  <si>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</si>
  <si>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</si>
  <si>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</si>
  <si>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</si>
  <si>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</si>
  <si>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</si>
  <si>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</si>
  <si>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</si>
  <si>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</si>
  <si>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</si>
  <si>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</si>
  <si>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</si>
  <si>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</si>
  <si>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</si>
  <si>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</si>
  <si>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</si>
  <si>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</si>
  <si>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</si>
  <si>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</si>
  <si>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</si>
  <si>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</si>
  <si>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</si>
  <si>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</si>
  <si>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</si>
  <si>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</si>
  <si>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</si>
  <si>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</si>
  <si>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</si>
  <si>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</si>
  <si>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</si>
  <si>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</si>
  <si>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</si>
  <si>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</si>
  <si>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</si>
  <si>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</si>
  <si>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</si>
  <si>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</si>
  <si>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</si>
  <si>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</si>
  <si>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</si>
  <si>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</si>
  <si>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</si>
  <si>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</si>
  <si>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</si>
  <si>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</si>
  <si>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</si>
  <si>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</si>
  <si>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</si>
  <si>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</si>
  <si>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</si>
  <si>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</si>
  <si>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</si>
  <si>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</si>
  <si>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</si>
  <si>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</si>
  <si>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</si>
  <si>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</si>
  <si>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</si>
  <si>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</si>
  <si>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</si>
  <si>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</si>
  <si>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</si>
  <si>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</si>
  <si>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</si>
  <si>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</si>
  <si>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</si>
  <si>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</si>
  <si>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</si>
  <si>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</si>
  <si>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</si>
  <si>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</si>
  <si>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</si>
  <si>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</si>
  <si>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</si>
  <si>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</si>
  <si>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</si>
  <si>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</si>
  <si>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</si>
  <si>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</si>
  <si>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</si>
  <si>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</si>
  <si>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</si>
  <si>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</si>
  <si>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</si>
  <si>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</si>
  <si>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</si>
  <si>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</si>
  <si>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</si>
  <si>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</si>
  <si>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</si>
  <si>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</si>
  <si>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</si>
  <si>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</si>
  <si>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</si>
  <si>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</si>
  <si>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</si>
  <si>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</si>
  <si>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</si>
  <si>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</si>
  <si>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</si>
  <si>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</si>
  <si>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</si>
  <si>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</si>
  <si>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</si>
  <si>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</si>
  <si>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</si>
  <si>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</si>
  <si>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</si>
  <si>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</si>
  <si>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</si>
  <si>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</si>
  <si>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</si>
  <si>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</si>
  <si>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</si>
  <si>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</si>
  <si>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</si>
  <si>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</si>
  <si>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</si>
  <si>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</si>
  <si>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</si>
  <si>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</si>
  <si>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</si>
  <si>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</si>
  <si>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</si>
  <si>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</si>
  <si>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</si>
  <si>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</si>
  <si>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</si>
  <si>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</si>
  <si>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</si>
  <si>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</si>
  <si>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</si>
  <si>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</si>
  <si>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</si>
  <si>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</si>
  <si>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</si>
  <si>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</si>
  <si>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</si>
  <si>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</si>
  <si>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</si>
  <si>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</si>
  <si>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</si>
  <si>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</si>
  <si>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</si>
  <si>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</si>
  <si>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</si>
  <si>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</si>
  <si>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</si>
  <si>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</si>
  <si>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</si>
  <si>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</si>
  <si>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</si>
  <si>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</si>
  <si>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</si>
  <si>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</si>
  <si>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</si>
  <si>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</si>
  <si>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</si>
  <si>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</si>
  <si>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</si>
  <si>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</si>
  <si>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</si>
  <si>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</si>
  <si>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</si>
  <si>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</si>
  <si>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</si>
  <si>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</si>
  <si>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</si>
  <si>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</si>
  <si>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</si>
  <si>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</si>
  <si>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</si>
  <si>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</si>
  <si>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</si>
  <si>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</si>
  <si>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</si>
  <si>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</si>
  <si>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</si>
  <si>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</si>
  <si>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</si>
  <si>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</si>
  <si>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</si>
  <si>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</si>
  <si>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</si>
  <si>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</si>
  <si>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</si>
  <si>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</si>
  <si>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</si>
  <si>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</si>
  <si>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</si>
  <si>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</si>
  <si>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</si>
  <si>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</si>
  <si>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</si>
  <si>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</si>
  <si>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</si>
  <si>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</si>
  <si>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</si>
  <si>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</si>
  <si>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</si>
  <si>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</si>
  <si>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</si>
  <si>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</si>
  <si>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</si>
  <si>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</si>
  <si>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</si>
  <si>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</si>
  <si>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</si>
  <si>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</si>
  <si>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</si>
  <si>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</si>
  <si>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</si>
  <si>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</si>
  <si>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</si>
  <si>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</si>
  <si>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</si>
  <si>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</si>
  <si>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</si>
  <si>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</si>
  <si>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</si>
  <si>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</si>
  <si>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</si>
  <si>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</si>
  <si>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</si>
  <si>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</si>
  <si>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</si>
  <si>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</si>
  <si>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</si>
  <si>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</si>
  <si>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</si>
  <si>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</si>
  <si>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</si>
  <si>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</si>
  <si>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</si>
  <si>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</si>
  <si>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</si>
  <si>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</si>
  <si>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</si>
  <si>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</si>
  <si>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</si>
  <si>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</si>
  <si>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</si>
  <si>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</si>
  <si>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</si>
  <si>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</si>
  <si>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</si>
  <si>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</si>
  <si>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</si>
  <si>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</si>
  <si>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</si>
  <si>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</si>
  <si>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</si>
  <si>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</si>
  <si>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</si>
  <si>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</si>
  <si>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</si>
  <si>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</si>
  <si>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</si>
  <si>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</si>
  <si>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</si>
  <si>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</si>
  <si>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</si>
  <si>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</si>
  <si>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</si>
  <si>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</si>
  <si>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</si>
  <si>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</si>
  <si>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</si>
  <si>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</si>
  <si>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</si>
  <si>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</si>
  <si>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</si>
  <si>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</si>
  <si>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</si>
  <si>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</si>
  <si>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</si>
  <si>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</si>
  <si>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</si>
  <si>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</si>
  <si>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</si>
  <si>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</si>
  <si>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</si>
  <si>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</si>
  <si>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</si>
  <si>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</si>
  <si>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</si>
  <si>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</si>
  <si>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</si>
  <si>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</si>
  <si>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</si>
  <si>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</si>
  <si>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</si>
  <si>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</si>
  <si>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</si>
  <si>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</si>
  <si>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</si>
  <si>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</si>
  <si>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</si>
  <si>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</si>
  <si>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</si>
  <si>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</si>
  <si>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</si>
  <si>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</si>
  <si>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</si>
  <si>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</si>
  <si>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</si>
  <si>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</si>
  <si>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</si>
  <si>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</si>
  <si>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</si>
  <si>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</si>
  <si>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</si>
  <si>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</si>
  <si>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</si>
  <si>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</si>
  <si>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</si>
  <si>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</si>
  <si>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</si>
  <si>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</si>
  <si>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</si>
  <si>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</si>
  <si>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</si>
  <si>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</si>
  <si>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</si>
  <si>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</si>
  <si>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</si>
  <si>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</si>
  <si>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</si>
  <si>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</si>
  <si>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</si>
  <si>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</si>
  <si>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</si>
  <si>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</si>
  <si>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</si>
  <si>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</si>
  <si>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</si>
  <si>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</si>
  <si>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</si>
  <si>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</si>
  <si>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</si>
  <si>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</si>
  <si>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</si>
  <si>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</si>
  <si>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</si>
  <si>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</si>
  <si>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</si>
  <si>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</si>
  <si>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</si>
  <si>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</si>
  <si>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</si>
  <si>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</si>
  <si>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</si>
  <si>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</si>
  <si>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</si>
  <si>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</si>
  <si>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</si>
  <si>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</si>
  <si>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</si>
  <si>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</si>
  <si>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</si>
  <si>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</si>
  <si>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</si>
  <si>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</si>
  <si>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</si>
  <si>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</si>
  <si>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</si>
  <si>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</si>
  <si>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</si>
  <si>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</si>
  <si>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</si>
  <si>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</si>
  <si>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</si>
  <si>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</si>
  <si>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</si>
  <si>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</si>
  <si>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</si>
  <si>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</si>
  <si>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</si>
  <si>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</si>
  <si>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</si>
  <si>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</si>
  <si>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</si>
  <si>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</si>
  <si>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</si>
  <si>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</si>
  <si>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</si>
  <si>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</si>
  <si>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</si>
  <si>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</si>
  <si>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</si>
  <si>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</si>
  <si>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</si>
  <si>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</si>
  <si>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</si>
  <si>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</si>
  <si>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</si>
  <si>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</si>
  <si>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</si>
  <si>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</si>
  <si>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</si>
  <si>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</si>
  <si>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</si>
  <si>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</si>
  <si>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</si>
  <si>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</si>
  <si>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</si>
  <si>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</si>
  <si>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</si>
  <si>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</si>
  <si>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</si>
  <si>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</si>
  <si>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</si>
  <si>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</si>
  <si>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</si>
  <si>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</si>
  <si>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</si>
  <si>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</si>
  <si>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</si>
  <si>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</si>
  <si>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</si>
  <si>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</si>
  <si>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</si>
  <si>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</si>
  <si>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</si>
  <si>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</si>
  <si>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</si>
  <si>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</si>
  <si>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</si>
  <si>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</si>
  <si>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</si>
  <si>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</si>
  <si>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</si>
  <si>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</si>
  <si>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</si>
  <si>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</si>
  <si>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</si>
  <si>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</si>
  <si>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</si>
  <si>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</si>
  <si>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</si>
  <si>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</si>
  <si>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</si>
  <si>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</si>
  <si>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</si>
  <si>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</si>
  <si>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</si>
  <si>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</si>
  <si>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</si>
  <si>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</si>
  <si>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</si>
  <si>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</si>
  <si>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</si>
  <si>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</si>
  <si>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</si>
  <si>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</si>
  <si>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</si>
  <si>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</si>
  <si>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</si>
  <si>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</si>
  <si>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</si>
  <si>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</si>
  <si>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</si>
  <si>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</si>
  <si>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</si>
  <si>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</si>
  <si>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</si>
  <si>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</si>
  <si>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</si>
  <si>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</si>
  <si>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</si>
  <si>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</si>
  <si>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</si>
  <si>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</si>
  <si>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</si>
  <si>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</si>
  <si>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</si>
  <si>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</si>
  <si>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</si>
  <si>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</si>
  <si>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</si>
  <si>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</si>
  <si>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</si>
  <si>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</si>
  <si>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</si>
  <si>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</si>
  <si>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</si>
  <si>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</si>
  <si>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</si>
  <si>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</si>
  <si>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</si>
  <si>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</si>
  <si>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</si>
  <si>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</si>
  <si>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</si>
  <si>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</si>
  <si>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</si>
  <si>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</si>
  <si>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</si>
  <si>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</si>
  <si>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</si>
  <si>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</si>
  <si>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</si>
  <si>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</si>
  <si>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</si>
  <si>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</si>
  <si>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</si>
  <si>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</si>
  <si>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</si>
  <si>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</si>
  <si>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</si>
  <si>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</si>
  <si>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</si>
  <si>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</si>
  <si>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</si>
  <si>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</si>
  <si>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</si>
  <si>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</si>
  <si>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</si>
  <si>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</si>
  <si>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</si>
  <si>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</si>
  <si>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</si>
  <si>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</si>
  <si>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</si>
  <si>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</si>
  <si>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</si>
  <si>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</si>
  <si>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</si>
  <si>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</si>
  <si>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</si>
  <si>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</si>
  <si>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</si>
  <si>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</si>
  <si>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</si>
  <si>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</si>
  <si>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</si>
  <si>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</si>
  <si>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</si>
  <si>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</si>
  <si>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</si>
  <si>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</si>
  <si>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</si>
  <si>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</si>
  <si>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</si>
  <si>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</si>
  <si>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</si>
  <si>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</si>
  <si>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</si>
  <si>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</si>
  <si>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</si>
  <si>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</si>
  <si>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</si>
  <si>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</si>
  <si>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</si>
  <si>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</si>
  <si>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</si>
  <si>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</si>
  <si>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</si>
  <si>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</si>
  <si>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</si>
  <si>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</si>
  <si>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</si>
  <si>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</si>
  <si>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</si>
  <si>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</si>
  <si>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</si>
  <si>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</si>
  <si>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</si>
  <si>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</si>
  <si>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</si>
  <si>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</si>
  <si>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</si>
  <si>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</si>
  <si>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</si>
  <si>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</si>
  <si>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</si>
  <si>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</si>
  <si>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</si>
  <si>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</si>
  <si>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</si>
  <si>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</si>
  <si>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</si>
  <si>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</si>
  <si>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</si>
  <si>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</si>
  <si>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</si>
  <si>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</si>
  <si>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</si>
  <si>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</si>
  <si>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</si>
  <si>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</si>
  <si>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</si>
  <si>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</si>
  <si>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</si>
  <si>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</si>
  <si>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</si>
  <si>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</si>
  <si>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</si>
  <si>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</si>
  <si>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</si>
  <si>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</si>
  <si>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</si>
  <si>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</si>
  <si>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</si>
  <si>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</si>
  <si>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</si>
  <si>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</si>
  <si>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</si>
  <si>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Estimating the likelihood of failure</t>
  </si>
  <si>
    <t>Approach 1: Using a corporate bond rating</t>
  </si>
  <si>
    <t>Default Probabilities over time (1 - 10 year time horizons)</t>
  </si>
  <si>
    <t>Rating</t>
  </si>
  <si>
    <t>AAA</t>
  </si>
  <si>
    <t>AA</t>
  </si>
  <si>
    <t>A</t>
  </si>
  <si>
    <t>BBB</t>
  </si>
  <si>
    <t>BB</t>
  </si>
  <si>
    <t>CCC/C</t>
  </si>
  <si>
    <t>Thus, if you use the 10-year likelihood of failure, the chance of failure for a BB rated firm is 11.78%.</t>
  </si>
  <si>
    <t>Approach 2: Using corporate age (for young companies)</t>
  </si>
  <si>
    <t>Survial Rate Data from Bureau of Labor Statistics (2022)</t>
  </si>
  <si>
    <t>Agriculture</t>
  </si>
  <si>
    <t>Mining</t>
  </si>
  <si>
    <t>Utilities</t>
  </si>
  <si>
    <t>Construction</t>
  </si>
  <si>
    <t>Manufacturing</t>
  </si>
  <si>
    <t>Retail</t>
  </si>
  <si>
    <t>Information</t>
  </si>
  <si>
    <t>Health Care</t>
  </si>
  <si>
    <t>All Sectors</t>
  </si>
  <si>
    <t>Failure Rate given age</t>
  </si>
  <si>
    <t>Source; Bureau of Labor Statistics</t>
  </si>
  <si>
    <t>Thus, if you are valuing a technology firm that is 6 years old, the chance of failure is 11.70%.</t>
  </si>
  <si>
    <t>Factors to consider</t>
  </si>
  <si>
    <t xml:space="preserve">1. The likelihood of failure decreases for larger firms. </t>
  </si>
  <si>
    <t>2. The likelihood of failure decreases with access to capital, and is thus lower for publicly traded firms or firms with multiple high profile VCs</t>
  </si>
  <si>
    <t>3. The likelihood of failure decreases as revenue growth increases, since hope for future growth will sustain the firm.</t>
  </si>
  <si>
    <t>4. The likelihood of failure decreases with better unit economics, higher gross margins on the additional units sold</t>
  </si>
  <si>
    <t>TTM Calculator</t>
  </si>
  <si>
    <t>Input Sheet</t>
  </si>
  <si>
    <t>Note: This worksheet is the most finicky of all of the worksheets in this spreadsheet. If you start to get errors, here is a quick fix. Go into cell B12 and replace the contents with a number (say 5), and then undo your action. The spreadsheet will fix itself magically.</t>
  </si>
  <si>
    <t>CoStar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</si>
</sst>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43">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sz val="9"/>
      <name val="Geneva"/>
      <family val="2"/>
      <charset val="1"/>
    </font>
    <font>
      <b/>
      <i/>
      <sz val="18"/>
      <color theme="0"/>
      <name val="Helvetica"/>
      <family val="2"/>
    </font>
    <font>
      <b/>
      <i/>
      <sz val="14"/>
      <color theme="0"/>
      <name val="Helvetica"/>
      <family val="2"/>
    </font>
    <font>
      <sz val="9"/>
      <color theme="0"/>
      <name val="Geneva"/>
      <family val="2"/>
      <charset val="1"/>
    </font>
    <font>
      <b/>
      <sz val="10"/>
      <color theme="0"/>
      <name val="Geneva"/>
      <family val="2"/>
      <charset val="1"/>
    </font>
    <font>
      <b/>
      <sz val="12"/>
      <color theme="0"/>
      <name val="Arial"/>
      <family val="2"/>
    </font>
    <font>
      <sz val="12"/>
      <color theme="0"/>
      <name val="Arial"/>
      <family val="2"/>
    </font>
    <font>
      <sz val="12"/>
      <color theme="0"/>
      <name val="Times Roman"/>
    </font>
    <font>
      <i/>
      <sz val="12"/>
      <color theme="0"/>
      <name val="Times Roman"/>
    </font>
    <font>
      <b/>
      <sz val="14"/>
      <color theme="0"/>
      <name val="Times Roman"/>
    </font>
    <font>
      <sz val="12"/>
      <color theme="0"/>
      <name val="Helvetica"/>
      <family val="2"/>
    </font>
    <font>
      <b/>
      <sz val="12"/>
      <color theme="0"/>
      <name val="Helvetica"/>
      <family val="2"/>
    </font>
    <font>
      <b/>
      <sz val="14"/>
      <name val="Helvetica"/>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
      <patternFill patternType="solid">
        <fgColor theme="2"/>
        <bgColor indexed="64"/>
      </patternFill>
    </fill>
    <fill>
      <patternFill patternType="solid">
        <fgColor theme="1" tint="0.249977111117893"/>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s>
  <cellStyleXfs count="29">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2" fillId="0" borderId="0" applyNumberFormat="0" applyFill="0" applyBorder="0" applyAlignment="0" applyProtection="0"/>
    <xf numFmtId="0" fontId="3" fillId="0" borderId="0"/>
    <xf numFmtId="44" fontId="13" fillId="0" borderId="0" applyFont="0" applyFill="0" applyBorder="0" applyAlignment="0" applyProtection="0"/>
    <xf numFmtId="9" fontId="13" fillId="0" borderId="0" applyFont="0" applyFill="0" applyBorder="0" applyAlignment="0" applyProtection="0"/>
    <xf numFmtId="0" fontId="14" fillId="0" borderId="0"/>
    <xf numFmtId="0" fontId="16" fillId="8" borderId="0"/>
    <xf numFmtId="0" fontId="15" fillId="0" borderId="0" applyNumberFormat="0" applyFill="0" applyBorder="0" applyAlignment="0" applyProtection="0">
      <alignment vertical="top"/>
      <protection locked="0"/>
    </xf>
    <xf numFmtId="9" fontId="14" fillId="0" borderId="0" applyFont="0" applyFill="0" applyBorder="0" applyAlignment="0" applyProtection="0"/>
    <xf numFmtId="44" fontId="14"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xf numFmtId="0" fontId="30" fillId="0" borderId="0"/>
    <xf numFmtId="9" fontId="30" fillId="0" borderId="0" applyFont="0" applyFill="0" applyBorder="0" applyAlignment="0" applyProtection="0"/>
  </cellStyleXfs>
  <cellXfs count="166">
    <xf numFmtId="0" fontId="0" fillId="0" borderId="0" xfId="0"/>
    <xf numFmtId="0" fontId="17" fillId="12" borderId="0" xfId="0" applyFont="1" applyFill="1"/>
    <xf numFmtId="14" fontId="18" fillId="11" borderId="9" xfId="2" applyNumberFormat="1" applyFont="1" applyFill="1" applyAlignment="1">
      <alignment horizontal="center"/>
    </xf>
    <xf numFmtId="0" fontId="18" fillId="12" borderId="0" xfId="0" applyFont="1" applyFill="1"/>
    <xf numFmtId="0" fontId="20" fillId="12" borderId="0" xfId="0" applyFont="1" applyFill="1"/>
    <xf numFmtId="0" fontId="18" fillId="11" borderId="9" xfId="2" applyFont="1" applyFill="1" applyAlignment="1">
      <alignment horizontal="center"/>
    </xf>
    <xf numFmtId="0" fontId="18" fillId="11" borderId="0" xfId="6" applyFont="1" applyFill="1"/>
    <xf numFmtId="44" fontId="18" fillId="11" borderId="9" xfId="2" applyNumberFormat="1" applyFont="1" applyFill="1"/>
    <xf numFmtId="0" fontId="18" fillId="11" borderId="0" xfId="6" applyFont="1" applyFill="1" applyAlignment="1">
      <alignment horizontal="center"/>
    </xf>
    <xf numFmtId="0" fontId="21" fillId="12" borderId="0" xfId="0" applyFont="1" applyFill="1"/>
    <xf numFmtId="44" fontId="18" fillId="11" borderId="9" xfId="9" applyFont="1" applyFill="1" applyBorder="1"/>
    <xf numFmtId="0" fontId="18" fillId="11" borderId="9" xfId="2" applyNumberFormat="1" applyFont="1" applyFill="1" applyAlignment="1">
      <alignment horizontal="center"/>
    </xf>
    <xf numFmtId="0" fontId="18" fillId="12" borderId="2" xfId="0" applyFont="1" applyFill="1" applyBorder="1"/>
    <xf numFmtId="0" fontId="18" fillId="12" borderId="1" xfId="0" applyFont="1" applyFill="1" applyBorder="1"/>
    <xf numFmtId="0" fontId="18" fillId="12" borderId="3" xfId="0" applyFont="1" applyFill="1" applyBorder="1"/>
    <xf numFmtId="10" fontId="18" fillId="11" borderId="9" xfId="2" applyNumberFormat="1" applyFont="1" applyFill="1" applyAlignment="1">
      <alignment horizontal="center"/>
    </xf>
    <xf numFmtId="0" fontId="18" fillId="12" borderId="4" xfId="0" applyFont="1" applyFill="1" applyBorder="1"/>
    <xf numFmtId="0" fontId="18" fillId="12" borderId="5" xfId="0" applyFont="1" applyFill="1" applyBorder="1"/>
    <xf numFmtId="9" fontId="18" fillId="11" borderId="17" xfId="2" applyNumberFormat="1" applyFont="1" applyFill="1" applyBorder="1" applyAlignment="1">
      <alignment horizontal="center"/>
    </xf>
    <xf numFmtId="0" fontId="18" fillId="12" borderId="12" xfId="0" applyFont="1" applyFill="1" applyBorder="1" applyAlignment="1">
      <alignment horizontal="center" vertical="center"/>
    </xf>
    <xf numFmtId="0" fontId="18" fillId="12" borderId="15" xfId="0" applyFont="1" applyFill="1" applyBorder="1" applyAlignment="1">
      <alignment horizontal="center" vertical="center"/>
    </xf>
    <xf numFmtId="10" fontId="17" fillId="12" borderId="9" xfId="5" applyNumberFormat="1" applyFont="1" applyFill="1"/>
    <xf numFmtId="10" fontId="18" fillId="11" borderId="18" xfId="2" applyNumberFormat="1" applyFont="1" applyFill="1" applyBorder="1" applyAlignment="1">
      <alignment horizontal="center"/>
    </xf>
    <xf numFmtId="2" fontId="17" fillId="12" borderId="9" xfId="5" applyNumberFormat="1" applyFont="1" applyFill="1"/>
    <xf numFmtId="2" fontId="18" fillId="11" borderId="9" xfId="2" applyNumberFormat="1" applyFont="1" applyFill="1" applyAlignment="1">
      <alignment horizontal="center"/>
    </xf>
    <xf numFmtId="2" fontId="18" fillId="11" borderId="9" xfId="2" applyNumberFormat="1" applyFont="1" applyFill="1" applyAlignment="1">
      <alignment horizontal="center" vertical="center"/>
    </xf>
    <xf numFmtId="0" fontId="18" fillId="12" borderId="6" xfId="0" applyFont="1" applyFill="1" applyBorder="1"/>
    <xf numFmtId="0" fontId="18" fillId="12" borderId="7" xfId="0" applyFont="1" applyFill="1" applyBorder="1"/>
    <xf numFmtId="10" fontId="17" fillId="12" borderId="9" xfId="1" applyNumberFormat="1" applyFont="1" applyFill="1" applyBorder="1"/>
    <xf numFmtId="44" fontId="17" fillId="12" borderId="9" xfId="5" applyNumberFormat="1" applyFont="1" applyFill="1"/>
    <xf numFmtId="44" fontId="17" fillId="12" borderId="9" xfId="9" applyFont="1" applyFill="1" applyBorder="1"/>
    <xf numFmtId="8" fontId="18" fillId="11" borderId="9" xfId="2" applyNumberFormat="1" applyFont="1" applyFill="1" applyAlignment="1">
      <alignment horizontal="center"/>
    </xf>
    <xf numFmtId="0" fontId="18" fillId="12" borderId="8" xfId="0" applyFont="1" applyFill="1" applyBorder="1"/>
    <xf numFmtId="0" fontId="18" fillId="12" borderId="2" xfId="0" applyFont="1" applyFill="1" applyBorder="1" applyAlignment="1">
      <alignment horizontal="center"/>
    </xf>
    <xf numFmtId="0" fontId="18" fillId="12" borderId="3" xfId="0" applyFont="1" applyFill="1" applyBorder="1" applyAlignment="1">
      <alignment horizontal="center"/>
    </xf>
    <xf numFmtId="10" fontId="18" fillId="12" borderId="6" xfId="0" applyNumberFormat="1" applyFont="1" applyFill="1" applyBorder="1" applyAlignment="1">
      <alignment horizontal="center"/>
    </xf>
    <xf numFmtId="10" fontId="18" fillId="12" borderId="8" xfId="0" applyNumberFormat="1" applyFont="1" applyFill="1" applyBorder="1" applyAlignment="1">
      <alignment horizontal="center"/>
    </xf>
    <xf numFmtId="10" fontId="18" fillId="12" borderId="6" xfId="0" applyNumberFormat="1" applyFont="1" applyFill="1" applyBorder="1"/>
    <xf numFmtId="10" fontId="18" fillId="12" borderId="7" xfId="0" applyNumberFormat="1" applyFont="1" applyFill="1" applyBorder="1"/>
    <xf numFmtId="10" fontId="18" fillId="12" borderId="8" xfId="0" applyNumberFormat="1" applyFont="1" applyFill="1" applyBorder="1"/>
    <xf numFmtId="10" fontId="18" fillId="12" borderId="12" xfId="0" applyNumberFormat="1" applyFont="1" applyFill="1" applyBorder="1"/>
    <xf numFmtId="10" fontId="18" fillId="12" borderId="16" xfId="10" applyNumberFormat="1" applyFont="1" applyFill="1" applyBorder="1"/>
    <xf numFmtId="10" fontId="18" fillId="12" borderId="15" xfId="10" applyNumberFormat="1" applyFont="1" applyFill="1" applyBorder="1"/>
    <xf numFmtId="9" fontId="18" fillId="11" borderId="9" xfId="2" applyNumberFormat="1" applyFont="1" applyFill="1" applyAlignment="1">
      <alignment horizontal="center"/>
    </xf>
    <xf numFmtId="0" fontId="23" fillId="12" borderId="13" xfId="3" applyFont="1" applyFill="1"/>
    <xf numFmtId="44" fontId="18" fillId="12" borderId="9" xfId="14" applyNumberFormat="1" applyFont="1" applyFill="1" applyBorder="1"/>
    <xf numFmtId="44" fontId="18" fillId="12" borderId="0" xfId="15" applyNumberFormat="1" applyFont="1" applyFill="1"/>
    <xf numFmtId="0" fontId="17" fillId="12" borderId="9" xfId="5" applyFont="1" applyFill="1"/>
    <xf numFmtId="164" fontId="17" fillId="12" borderId="9" xfId="5" applyNumberFormat="1" applyFont="1" applyFill="1"/>
    <xf numFmtId="9" fontId="17" fillId="12" borderId="9" xfId="5" applyNumberFormat="1" applyFont="1" applyFill="1"/>
    <xf numFmtId="10" fontId="17" fillId="12" borderId="14" xfId="4" applyNumberFormat="1" applyFont="1" applyFill="1"/>
    <xf numFmtId="44" fontId="22" fillId="9" borderId="14" xfId="25" applyNumberFormat="1" applyFont="1" applyBorder="1"/>
    <xf numFmtId="0" fontId="18" fillId="12" borderId="0" xfId="6" applyFont="1" applyFill="1"/>
    <xf numFmtId="10" fontId="18" fillId="12" borderId="0" xfId="0" applyNumberFormat="1" applyFont="1" applyFill="1"/>
    <xf numFmtId="2" fontId="18" fillId="12" borderId="0" xfId="0" applyNumberFormat="1" applyFont="1" applyFill="1"/>
    <xf numFmtId="44" fontId="18" fillId="12" borderId="0" xfId="0" applyNumberFormat="1" applyFont="1" applyFill="1"/>
    <xf numFmtId="10" fontId="18" fillId="12" borderId="0" xfId="1" applyNumberFormat="1" applyFont="1" applyFill="1" applyBorder="1"/>
    <xf numFmtId="10" fontId="18" fillId="12" borderId="5" xfId="1" applyNumberFormat="1" applyFont="1" applyFill="1" applyBorder="1"/>
    <xf numFmtId="10" fontId="18" fillId="12" borderId="0" xfId="1" applyNumberFormat="1" applyFont="1" applyFill="1"/>
    <xf numFmtId="10" fontId="18" fillId="12" borderId="5" xfId="0" applyNumberFormat="1" applyFont="1" applyFill="1" applyBorder="1"/>
    <xf numFmtId="0" fontId="21" fillId="12" borderId="6" xfId="0" applyFont="1" applyFill="1" applyBorder="1"/>
    <xf numFmtId="0" fontId="17" fillId="12" borderId="2" xfId="0" applyFont="1" applyFill="1" applyBorder="1"/>
    <xf numFmtId="2" fontId="18" fillId="12" borderId="5" xfId="0" applyNumberFormat="1" applyFont="1" applyFill="1" applyBorder="1"/>
    <xf numFmtId="44" fontId="18" fillId="12" borderId="0" xfId="9" applyFont="1" applyFill="1"/>
    <xf numFmtId="166" fontId="18" fillId="12" borderId="0" xfId="1" applyNumberFormat="1" applyFont="1" applyFill="1"/>
    <xf numFmtId="166" fontId="18" fillId="12" borderId="5" xfId="1" applyNumberFormat="1" applyFont="1" applyFill="1" applyBorder="1"/>
    <xf numFmtId="44" fontId="18" fillId="12" borderId="4" xfId="0" applyNumberFormat="1" applyFont="1" applyFill="1" applyBorder="1"/>
    <xf numFmtId="44" fontId="18" fillId="12" borderId="5" xfId="0" applyNumberFormat="1" applyFont="1" applyFill="1" applyBorder="1"/>
    <xf numFmtId="166" fontId="18" fillId="12" borderId="8" xfId="1" applyNumberFormat="1" applyFont="1" applyFill="1" applyBorder="1"/>
    <xf numFmtId="0" fontId="18" fillId="12" borderId="0" xfId="2" applyFont="1" applyFill="1" applyBorder="1"/>
    <xf numFmtId="0" fontId="17" fillId="12" borderId="0" xfId="4" applyFont="1" applyFill="1" applyBorder="1"/>
    <xf numFmtId="6" fontId="17" fillId="12" borderId="9" xfId="5" applyNumberFormat="1" applyFont="1" applyFill="1"/>
    <xf numFmtId="10" fontId="18" fillId="10" borderId="9" xfId="2" applyNumberFormat="1" applyFont="1" applyFill="1"/>
    <xf numFmtId="0" fontId="18" fillId="12" borderId="9" xfId="2" applyFont="1" applyFill="1"/>
    <xf numFmtId="0" fontId="24" fillId="12" borderId="0" xfId="0" applyFont="1" applyFill="1"/>
    <xf numFmtId="2" fontId="25" fillId="12" borderId="0" xfId="0" applyNumberFormat="1" applyFont="1" applyFill="1"/>
    <xf numFmtId="0" fontId="17" fillId="12" borderId="14" xfId="4" applyFont="1" applyFill="1"/>
    <xf numFmtId="10" fontId="17" fillId="12" borderId="14" xfId="1" applyNumberFormat="1" applyFont="1" applyFill="1" applyBorder="1"/>
    <xf numFmtId="0" fontId="26" fillId="12" borderId="10" xfId="0" applyFont="1" applyFill="1" applyBorder="1" applyAlignment="1">
      <alignment horizontal="center"/>
    </xf>
    <xf numFmtId="0" fontId="24" fillId="12" borderId="10" xfId="0" applyFont="1" applyFill="1" applyBorder="1" applyAlignment="1">
      <alignment horizontal="center"/>
    </xf>
    <xf numFmtId="10" fontId="24" fillId="12" borderId="8" xfId="19" applyNumberFormat="1" applyFont="1" applyFill="1" applyBorder="1" applyAlignment="1">
      <alignment horizontal="center"/>
    </xf>
    <xf numFmtId="0" fontId="24" fillId="12" borderId="10" xfId="0" applyFont="1" applyFill="1" applyBorder="1" applyAlignment="1">
      <alignment horizontal="centerContinuous"/>
    </xf>
    <xf numFmtId="10" fontId="24" fillId="12" borderId="8" xfId="0" applyNumberFormat="1" applyFont="1" applyFill="1" applyBorder="1" applyAlignment="1">
      <alignment horizontal="center"/>
    </xf>
    <xf numFmtId="10" fontId="24" fillId="12" borderId="10" xfId="0" applyNumberFormat="1" applyFont="1" applyFill="1" applyBorder="1" applyAlignment="1">
      <alignment horizontal="center"/>
    </xf>
    <xf numFmtId="10" fontId="24" fillId="12" borderId="11" xfId="0" applyNumberFormat="1" applyFont="1" applyFill="1" applyBorder="1" applyAlignment="1">
      <alignment horizontal="center"/>
    </xf>
    <xf numFmtId="0" fontId="18" fillId="12" borderId="10" xfId="0" applyFont="1" applyFill="1" applyBorder="1" applyAlignment="1">
      <alignment horizontal="center"/>
    </xf>
    <xf numFmtId="0" fontId="24" fillId="12" borderId="10" xfId="0" applyFont="1" applyFill="1" applyBorder="1"/>
    <xf numFmtId="165" fontId="18" fillId="12" borderId="10" xfId="0" applyNumberFormat="1" applyFont="1" applyFill="1" applyBorder="1"/>
    <xf numFmtId="165" fontId="18" fillId="10" borderId="10" xfId="0" applyNumberFormat="1" applyFont="1" applyFill="1" applyBorder="1" applyAlignment="1">
      <alignment horizontal="center"/>
    </xf>
    <xf numFmtId="165" fontId="18" fillId="10" borderId="0" xfId="0" applyNumberFormat="1" applyFont="1" applyFill="1" applyAlignment="1">
      <alignment horizontal="center"/>
    </xf>
    <xf numFmtId="0" fontId="18" fillId="10" borderId="9" xfId="2" applyFont="1" applyFill="1"/>
    <xf numFmtId="10" fontId="18" fillId="10" borderId="9" xfId="1" applyNumberFormat="1" applyFont="1" applyFill="1" applyBorder="1"/>
    <xf numFmtId="0" fontId="18" fillId="10" borderId="5" xfId="0" applyFont="1" applyFill="1" applyBorder="1"/>
    <xf numFmtId="0" fontId="27" fillId="12" borderId="10" xfId="0" applyFont="1" applyFill="1" applyBorder="1" applyAlignment="1">
      <alignment wrapText="1"/>
    </xf>
    <xf numFmtId="0" fontId="27" fillId="12" borderId="10" xfId="0" applyFont="1" applyFill="1" applyBorder="1" applyAlignment="1">
      <alignment horizontal="center" wrapText="1"/>
    </xf>
    <xf numFmtId="10" fontId="27" fillId="12" borderId="10" xfId="0" applyNumberFormat="1" applyFont="1" applyFill="1" applyBorder="1" applyAlignment="1">
      <alignment horizontal="center" wrapText="1"/>
    </xf>
    <xf numFmtId="2" fontId="27" fillId="12" borderId="10" xfId="0" applyNumberFormat="1" applyFont="1" applyFill="1" applyBorder="1" applyAlignment="1">
      <alignment horizontal="center" wrapText="1"/>
    </xf>
    <xf numFmtId="0" fontId="27" fillId="12" borderId="0" xfId="0" applyFont="1" applyFill="1"/>
    <xf numFmtId="0" fontId="27" fillId="12" borderId="15" xfId="0" applyFont="1" applyFill="1" applyBorder="1" applyAlignment="1">
      <alignment horizontal="center" wrapText="1"/>
    </xf>
    <xf numFmtId="10" fontId="27" fillId="12" borderId="15" xfId="0" applyNumberFormat="1" applyFont="1" applyFill="1" applyBorder="1" applyAlignment="1">
      <alignment horizontal="center" wrapText="1"/>
    </xf>
    <xf numFmtId="2" fontId="27" fillId="12" borderId="15" xfId="0" applyNumberFormat="1" applyFont="1" applyFill="1" applyBorder="1" applyAlignment="1">
      <alignment horizontal="center" wrapText="1"/>
    </xf>
    <xf numFmtId="0" fontId="27" fillId="12" borderId="15" xfId="0" applyFont="1" applyFill="1" applyBorder="1" applyAlignment="1">
      <alignment wrapText="1"/>
    </xf>
    <xf numFmtId="0" fontId="27" fillId="12" borderId="0" xfId="0" applyFont="1" applyFill="1" applyAlignment="1">
      <alignment wrapText="1"/>
    </xf>
    <xf numFmtId="10" fontId="24" fillId="12" borderId="0" xfId="0" applyNumberFormat="1" applyFont="1" applyFill="1"/>
    <xf numFmtId="2" fontId="24" fillId="12" borderId="0" xfId="0" applyNumberFormat="1" applyFont="1" applyFill="1"/>
    <xf numFmtId="0" fontId="28" fillId="12" borderId="10" xfId="0" applyFont="1" applyFill="1" applyBorder="1"/>
    <xf numFmtId="0" fontId="29" fillId="12" borderId="10" xfId="0" applyFont="1" applyFill="1" applyBorder="1" applyAlignment="1">
      <alignment horizontal="center"/>
    </xf>
    <xf numFmtId="0" fontId="28" fillId="12" borderId="12" xfId="0" applyFont="1" applyFill="1" applyBorder="1" applyAlignment="1">
      <alignment horizontal="center"/>
    </xf>
    <xf numFmtId="0" fontId="27" fillId="12" borderId="10" xfId="0" applyFont="1" applyFill="1" applyBorder="1"/>
    <xf numFmtId="0" fontId="27" fillId="12" borderId="10" xfId="0" applyFont="1" applyFill="1" applyBorder="1" applyAlignment="1">
      <alignment horizontal="center"/>
    </xf>
    <xf numFmtId="0" fontId="18" fillId="12" borderId="10" xfId="0" applyFont="1" applyFill="1" applyBorder="1"/>
    <xf numFmtId="10" fontId="18" fillId="12" borderId="10" xfId="0" applyNumberFormat="1" applyFont="1" applyFill="1" applyBorder="1" applyAlignment="1">
      <alignment horizontal="center"/>
    </xf>
    <xf numFmtId="10" fontId="18" fillId="13" borderId="0" xfId="0" applyNumberFormat="1" applyFont="1" applyFill="1"/>
    <xf numFmtId="0" fontId="11" fillId="13" borderId="0" xfId="11" quotePrefix="1" applyFill="1"/>
    <xf numFmtId="0" fontId="31" fillId="15" borderId="0" xfId="27" applyFont="1" applyFill="1"/>
    <xf numFmtId="0" fontId="32" fillId="15" borderId="0" xfId="27" applyFont="1" applyFill="1"/>
    <xf numFmtId="0" fontId="33" fillId="15" borderId="0" xfId="27" applyFont="1" applyFill="1"/>
    <xf numFmtId="0" fontId="35" fillId="15" borderId="11" xfId="27" applyFont="1" applyFill="1" applyBorder="1"/>
    <xf numFmtId="0" fontId="36" fillId="15" borderId="11" xfId="27" applyFont="1" applyFill="1" applyBorder="1"/>
    <xf numFmtId="0" fontId="36" fillId="15" borderId="10" xfId="27" applyFont="1" applyFill="1" applyBorder="1"/>
    <xf numFmtId="10" fontId="36" fillId="15" borderId="10" xfId="28" applyNumberFormat="1" applyFont="1" applyFill="1" applyBorder="1"/>
    <xf numFmtId="0" fontId="36" fillId="15" borderId="0" xfId="27" applyFont="1" applyFill="1"/>
    <xf numFmtId="0" fontId="37" fillId="15" borderId="0" xfId="27" applyFont="1" applyFill="1"/>
    <xf numFmtId="0" fontId="37" fillId="15" borderId="10" xfId="27" applyFont="1" applyFill="1" applyBorder="1"/>
    <xf numFmtId="0" fontId="38" fillId="15" borderId="10" xfId="27" applyFont="1" applyFill="1" applyBorder="1" applyAlignment="1">
      <alignment horizontal="center"/>
    </xf>
    <xf numFmtId="0" fontId="37" fillId="15" borderId="10" xfId="27" applyFont="1" applyFill="1" applyBorder="1" applyAlignment="1">
      <alignment horizontal="center"/>
    </xf>
    <xf numFmtId="10" fontId="37" fillId="15" borderId="10" xfId="27" applyNumberFormat="1" applyFont="1" applyFill="1" applyBorder="1" applyAlignment="1">
      <alignment horizontal="center"/>
    </xf>
    <xf numFmtId="10" fontId="33" fillId="15" borderId="0" xfId="27" applyNumberFormat="1" applyFont="1" applyFill="1"/>
    <xf numFmtId="0" fontId="37" fillId="15" borderId="0" xfId="27" applyFont="1" applyFill="1" applyAlignment="1">
      <alignment horizontal="center"/>
    </xf>
    <xf numFmtId="10" fontId="37" fillId="15" borderId="0" xfId="27" applyNumberFormat="1" applyFont="1" applyFill="1" applyAlignment="1">
      <alignment horizontal="center"/>
    </xf>
    <xf numFmtId="0" fontId="40" fillId="15" borderId="0" xfId="27" applyFont="1" applyFill="1"/>
    <xf numFmtId="0" fontId="41" fillId="15" borderId="0" xfId="27" applyFont="1" applyFill="1"/>
    <xf numFmtId="0" fontId="11" fillId="13" borderId="0" xfId="11" applyFill="1"/>
    <xf numFmtId="0" fontId="11" fillId="13" borderId="0" xfId="11" applyFill="1" applyAlignment="1">
      <alignment horizontal="center"/>
    </xf>
    <xf numFmtId="0" fontId="17" fillId="12" borderId="2" xfId="0" applyFont="1" applyFill="1" applyBorder="1" applyAlignment="1">
      <alignment horizontal="center"/>
    </xf>
    <xf numFmtId="0" fontId="17" fillId="12" borderId="1" xfId="0" applyFont="1" applyFill="1" applyBorder="1" applyAlignment="1">
      <alignment horizontal="center"/>
    </xf>
    <xf numFmtId="0" fontId="17" fillId="12" borderId="3" xfId="0" applyFont="1" applyFill="1" applyBorder="1" applyAlignment="1">
      <alignment horizontal="center"/>
    </xf>
    <xf numFmtId="10" fontId="18" fillId="12" borderId="12" xfId="0" applyNumberFormat="1" applyFont="1" applyFill="1" applyBorder="1" applyAlignment="1">
      <alignment horizontal="center"/>
    </xf>
    <xf numFmtId="10" fontId="18" fillId="12" borderId="16" xfId="0" applyNumberFormat="1" applyFont="1" applyFill="1" applyBorder="1" applyAlignment="1">
      <alignment horizontal="center"/>
    </xf>
    <xf numFmtId="10" fontId="18" fillId="12" borderId="15" xfId="0" applyNumberFormat="1" applyFont="1" applyFill="1" applyBorder="1" applyAlignment="1">
      <alignment horizontal="center"/>
    </xf>
    <xf numFmtId="0" fontId="18" fillId="12" borderId="2" xfId="0" applyFont="1" applyFill="1" applyBorder="1" applyAlignment="1">
      <alignment horizontal="center"/>
    </xf>
    <xf numFmtId="0" fontId="18" fillId="12" borderId="1" xfId="0" applyFont="1" applyFill="1" applyBorder="1" applyAlignment="1">
      <alignment horizontal="center"/>
    </xf>
    <xf numFmtId="0" fontId="18" fillId="12" borderId="3" xfId="0" applyFont="1" applyFill="1" applyBorder="1" applyAlignment="1">
      <alignment horizontal="center"/>
    </xf>
    <xf numFmtId="10" fontId="18" fillId="12" borderId="6" xfId="0" applyNumberFormat="1" applyFont="1" applyFill="1" applyBorder="1" applyAlignment="1">
      <alignment horizontal="center"/>
    </xf>
    <xf numFmtId="10" fontId="18" fillId="12" borderId="7" xfId="0" applyNumberFormat="1" applyFont="1" applyFill="1" applyBorder="1" applyAlignment="1">
      <alignment horizontal="center"/>
    </xf>
    <xf numFmtId="10" fontId="18" fillId="12" borderId="8" xfId="0" applyNumberFormat="1" applyFont="1" applyFill="1" applyBorder="1" applyAlignment="1">
      <alignment horizontal="center"/>
    </xf>
    <xf numFmtId="0" fontId="19" fillId="12" borderId="0" xfId="11" applyFont="1" applyFill="1" applyAlignment="1">
      <alignment horizontal="center"/>
    </xf>
    <xf numFmtId="0" fontId="18" fillId="12" borderId="0" xfId="0" applyFont="1" applyFill="1" applyAlignment="1">
      <alignment horizontal="center"/>
    </xf>
    <xf numFmtId="0" fontId="18" fillId="12" borderId="0" xfId="2" applyFont="1" applyFill="1" applyBorder="1" applyAlignment="1">
      <alignment horizontal="center"/>
    </xf>
    <xf numFmtId="0" fontId="17" fillId="12" borderId="0" xfId="5" applyFont="1" applyFill="1" applyBorder="1" applyAlignment="1">
      <alignment horizontal="center"/>
    </xf>
    <xf numFmtId="0" fontId="18" fillId="12" borderId="0" xfId="0" applyFont="1" applyFill="1" applyAlignment="1">
      <alignment horizontal="center" vertical="center"/>
    </xf>
    <xf numFmtId="0" fontId="42" fillId="14" borderId="24" xfId="0" applyFont="1" applyFill="1" applyBorder="1" applyAlignment="1">
      <alignment horizontal="left" vertical="top" wrapText="1"/>
    </xf>
    <xf numFmtId="0" fontId="42" fillId="14" borderId="0" xfId="0" applyFont="1" applyFill="1" applyAlignment="1">
      <alignment horizontal="left" vertical="top" wrapText="1"/>
    </xf>
    <xf numFmtId="0" fontId="19" fillId="13" borderId="2" xfId="11" applyFont="1" applyFill="1" applyBorder="1" applyAlignment="1">
      <alignment horizontal="center" vertical="center"/>
    </xf>
    <xf numFmtId="0" fontId="19" fillId="13" borderId="3" xfId="11" applyFont="1" applyFill="1" applyBorder="1" applyAlignment="1">
      <alignment horizontal="center" vertical="center"/>
    </xf>
    <xf numFmtId="0" fontId="19" fillId="13" borderId="4" xfId="11" applyFont="1" applyFill="1" applyBorder="1" applyAlignment="1">
      <alignment horizontal="center" vertical="center"/>
    </xf>
    <xf numFmtId="0" fontId="19" fillId="13" borderId="5" xfId="11" applyFont="1" applyFill="1" applyBorder="1" applyAlignment="1">
      <alignment horizontal="center" vertical="center"/>
    </xf>
    <xf numFmtId="0" fontId="19" fillId="13" borderId="6" xfId="11" applyFont="1" applyFill="1" applyBorder="1" applyAlignment="1">
      <alignment horizontal="center" vertical="center"/>
    </xf>
    <xf numFmtId="0" fontId="19" fillId="13" borderId="8" xfId="11" applyFont="1" applyFill="1" applyBorder="1" applyAlignment="1">
      <alignment horizontal="center" vertical="center"/>
    </xf>
    <xf numFmtId="0" fontId="34" fillId="15" borderId="19" xfId="27" applyFont="1" applyFill="1" applyBorder="1" applyAlignment="1">
      <alignment horizontal="center"/>
    </xf>
    <xf numFmtId="0" fontId="34" fillId="15" borderId="20" xfId="27" applyFont="1" applyFill="1" applyBorder="1" applyAlignment="1">
      <alignment horizontal="center"/>
    </xf>
    <xf numFmtId="0" fontId="34" fillId="15" borderId="21" xfId="27" applyFont="1" applyFill="1" applyBorder="1" applyAlignment="1">
      <alignment horizontal="center"/>
    </xf>
    <xf numFmtId="0" fontId="33" fillId="15" borderId="0" xfId="27" applyFont="1" applyFill="1" applyAlignment="1">
      <alignment horizontal="center"/>
    </xf>
    <xf numFmtId="0" fontId="39" fillId="15" borderId="22" xfId="27" applyFont="1" applyFill="1" applyBorder="1" applyAlignment="1">
      <alignment horizontal="center" vertical="center" textRotation="90" wrapText="1"/>
    </xf>
    <xf numFmtId="0" fontId="39" fillId="15" borderId="23" xfId="27" applyFont="1" applyFill="1" applyBorder="1" applyAlignment="1">
      <alignment horizontal="center" vertical="center" textRotation="90" wrapText="1"/>
    </xf>
    <xf numFmtId="0" fontId="39" fillId="15" borderId="11" xfId="27" applyFont="1" applyFill="1" applyBorder="1" applyAlignment="1">
      <alignment horizontal="center" vertical="center" textRotation="90" wrapText="1"/>
    </xf>
  </cellXfs>
  <cellStyles count="29">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Normal 6" xfId="27" xr:uid="{A643A376-1E5B-4C3E-8F71-9091447FEE9B}"/>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 name="Percent 6" xfId="28" xr:uid="{088215A0-FDE7-4FDF-8E28-9A9F78B2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abSelected="1" workbookViewId="0">
      <selection activeCell="B24" sqref="B24"/>
    </sheetView>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45334</v>
      </c>
      <c r="H1" s="146" t="s">
        <v>673</v>
      </c>
      <c r="I1" s="146"/>
      <c r="J1" s="146"/>
    </row>
    <row r="2" spans="1:10" ht="15.75">
      <c r="A2" s="4" t="s">
        <v>1</v>
      </c>
      <c r="B2" s="5" t="s">
        <v>708</v>
      </c>
      <c r="H2" s="147"/>
      <c r="I2" s="147"/>
      <c r="J2" s="150"/>
    </row>
    <row r="3" spans="1:10">
      <c r="A3" s="3" t="s">
        <v>32</v>
      </c>
      <c r="H3" s="148"/>
      <c r="I3" s="148"/>
      <c r="J3" s="150"/>
    </row>
    <row r="4" spans="1:10">
      <c r="B4" s="1" t="s">
        <v>33</v>
      </c>
      <c r="C4" s="1" t="s">
        <v>34</v>
      </c>
      <c r="H4" s="149"/>
      <c r="I4" s="149"/>
      <c r="J4" s="150"/>
    </row>
    <row r="5" spans="1:10">
      <c r="A5" s="3" t="s">
        <v>2</v>
      </c>
      <c r="B5" s="6" t="s">
        <v>193</v>
      </c>
    </row>
    <row r="6" spans="1:10">
      <c r="A6" s="3" t="s">
        <v>3</v>
      </c>
      <c r="B6" s="6" t="s">
        <v>212</v>
      </c>
    </row>
    <row r="7" spans="1:10">
      <c r="A7" s="3" t="s">
        <v>4</v>
      </c>
      <c r="B7" s="6" t="s">
        <v>212</v>
      </c>
      <c r="D7" s="3" t="s">
        <v>293</v>
      </c>
    </row>
    <row r="8" spans="1:10">
      <c r="A8" s="3" t="s">
        <v>5</v>
      </c>
      <c r="B8" s="7">
        <v>2388.29</v>
      </c>
      <c r="C8" s="7">
        <v>2182.4</v>
      </c>
      <c r="D8" s="8">
        <v>0.75</v>
      </c>
      <c r="E8" s="133" t="s">
        <v>705</v>
      </c>
      <c r="F8" s="133"/>
    </row>
    <row r="9" spans="1:10">
      <c r="A9" s="3" t="s">
        <v>6</v>
      </c>
      <c r="B9" s="7">
        <f>340.12+44.25</f>
        <v>384.37</v>
      </c>
      <c r="C9" s="7">
        <f>450.95+73.56</f>
        <v>524.51</v>
      </c>
      <c r="D9" s="8">
        <v>0.75</v>
      </c>
    </row>
    <row r="10" spans="1:10">
      <c r="A10" s="3" t="s">
        <v>7</v>
      </c>
      <c r="B10" s="7">
        <v>0</v>
      </c>
      <c r="C10" s="7">
        <v>0</v>
      </c>
    </row>
    <row r="11" spans="1:10">
      <c r="A11" s="3" t="s">
        <v>8</v>
      </c>
      <c r="B11" s="7">
        <v>7210.16</v>
      </c>
      <c r="C11" s="7">
        <v>6870.12</v>
      </c>
    </row>
    <row r="12" spans="1:10">
      <c r="A12" s="3" t="s">
        <v>9</v>
      </c>
      <c r="B12" s="7">
        <f>40.19+990.19+77.5</f>
        <v>1107.8800000000001</v>
      </c>
      <c r="C12" s="7">
        <f>36.05+989.21+80.32</f>
        <v>1105.58</v>
      </c>
    </row>
    <row r="13" spans="1:10">
      <c r="A13" s="3" t="s">
        <v>10</v>
      </c>
      <c r="B13" s="8" t="s">
        <v>294</v>
      </c>
      <c r="C13" s="9" t="s">
        <v>296</v>
      </c>
    </row>
    <row r="14" spans="1:10">
      <c r="A14" s="3" t="s">
        <v>11</v>
      </c>
      <c r="B14" s="8" t="s">
        <v>295</v>
      </c>
      <c r="C14" s="9" t="s">
        <v>297</v>
      </c>
    </row>
    <row r="15" spans="1:10">
      <c r="A15" s="3" t="s">
        <v>12</v>
      </c>
      <c r="B15" s="7">
        <v>5229.88</v>
      </c>
      <c r="C15" s="7">
        <v>4967.97</v>
      </c>
      <c r="F15" s="3" t="s">
        <v>669</v>
      </c>
    </row>
    <row r="16" spans="1:10">
      <c r="A16" s="3" t="s">
        <v>13</v>
      </c>
      <c r="B16" s="7">
        <v>16</v>
      </c>
      <c r="C16" s="7">
        <v>16.690000000000001</v>
      </c>
      <c r="F16" s="10">
        <v>0</v>
      </c>
    </row>
    <row r="17" spans="1:11">
      <c r="A17" s="3" t="s">
        <v>14</v>
      </c>
      <c r="B17" s="7">
        <v>0</v>
      </c>
      <c r="C17" s="7">
        <v>0</v>
      </c>
    </row>
    <row r="18" spans="1:11">
      <c r="A18" s="3" t="s">
        <v>15</v>
      </c>
      <c r="B18" s="11">
        <v>408.36</v>
      </c>
    </row>
    <row r="19" spans="1:11">
      <c r="A19" s="3" t="s">
        <v>16</v>
      </c>
      <c r="B19" s="7">
        <v>83.45</v>
      </c>
      <c r="E19" s="12" t="s">
        <v>331</v>
      </c>
      <c r="F19" s="13"/>
      <c r="G19" s="13"/>
      <c r="H19" s="13"/>
      <c r="I19" s="13"/>
      <c r="J19" s="13"/>
      <c r="K19" s="14"/>
    </row>
    <row r="20" spans="1:11">
      <c r="A20" s="3" t="s">
        <v>17</v>
      </c>
      <c r="B20" s="15">
        <f>90/369</f>
        <v>0.24390243902439024</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0.12772604240307039</v>
      </c>
      <c r="J22" s="21">
        <f>VLOOKUP(B6,'Industry Averages(US)'!A2:S96,3)</f>
        <v>6.6924269662921379E-2</v>
      </c>
      <c r="K22" s="21">
        <f>VLOOKUP(B7,'Global industry averages'!A2:N96,3)</f>
        <v>7.4751886503067494E-2</v>
      </c>
    </row>
    <row r="23" spans="1:11">
      <c r="A23" s="3" t="s">
        <v>20</v>
      </c>
      <c r="B23" s="22">
        <v>0.18</v>
      </c>
      <c r="C23" s="15">
        <v>0.17</v>
      </c>
      <c r="D23" s="9" t="s">
        <v>298</v>
      </c>
      <c r="E23" s="16" t="s">
        <v>334</v>
      </c>
      <c r="I23" s="21">
        <f>'Valuation Output'!B4</f>
        <v>0.17978134983607519</v>
      </c>
      <c r="J23" s="21">
        <f>VLOOKUP(B6,'Industry Averages(US)'!A2:S96,4)</f>
        <v>0.11098788170854047</v>
      </c>
      <c r="K23" s="21">
        <f>VLOOKUP(B7,'Global industry averages'!A2:N96,4)</f>
        <v>9.1545350405106973E-2</v>
      </c>
    </row>
    <row r="24" spans="1:11">
      <c r="A24" s="3" t="s">
        <v>21</v>
      </c>
      <c r="B24" s="15">
        <v>0.27</v>
      </c>
      <c r="D24" s="9" t="s">
        <v>299</v>
      </c>
      <c r="E24" s="16" t="s">
        <v>335</v>
      </c>
      <c r="I24" s="23">
        <f>B8/(B11+B12-B15)</f>
        <v>0.77336990311382814</v>
      </c>
      <c r="J24" s="23">
        <f>VLOOKUP(B6,'Industry Averages(US)'!A2:S97,14)</f>
        <v>2.7218927299604339</v>
      </c>
      <c r="K24" s="23">
        <f>VLOOKUP(B7,'Global industry averages'!A2:N96,14)</f>
        <v>2.715334288051404</v>
      </c>
    </row>
    <row r="25" spans="1:11">
      <c r="A25" s="3" t="s">
        <v>22</v>
      </c>
      <c r="B25" s="24">
        <v>1.75</v>
      </c>
      <c r="C25" s="25">
        <v>2.75</v>
      </c>
      <c r="D25" s="9" t="s">
        <v>300</v>
      </c>
      <c r="E25" s="16" t="s">
        <v>336</v>
      </c>
      <c r="I25" s="21">
        <f>B9*(1-B20)/(C11+C12-C15-C16+C17)</f>
        <v>9.7163936126629921E-2</v>
      </c>
      <c r="J25" s="21">
        <f>VLOOKUP(B6,'Industry Averages(US)'!A2:S97,5)</f>
        <v>0.27452359974428153</v>
      </c>
      <c r="K25" s="21">
        <f>VLOOKUP(B7,'Global industry averages'!A2:N96,5)</f>
        <v>0.21051840184826312</v>
      </c>
    </row>
    <row r="26" spans="1:11">
      <c r="A26" s="1" t="s">
        <v>23</v>
      </c>
      <c r="E26" s="16" t="s">
        <v>337</v>
      </c>
      <c r="I26" s="16"/>
      <c r="J26" s="21">
        <f>VLOOKUP(B6,'Industry Averages(US)'!A2:S97,10)</f>
        <v>0.41290054994468384</v>
      </c>
      <c r="K26" s="21">
        <f>VLOOKUP(B6,'Global industry averages'!A2:Z96,10)</f>
        <v>0.33306409769419965</v>
      </c>
    </row>
    <row r="27" spans="1:11">
      <c r="A27" s="3" t="s">
        <v>24</v>
      </c>
      <c r="B27" s="15">
        <v>4.1700000000000001E-2</v>
      </c>
      <c r="E27" s="26" t="s">
        <v>338</v>
      </c>
      <c r="F27" s="27"/>
      <c r="G27" s="27"/>
      <c r="H27" s="27"/>
      <c r="I27" s="26"/>
      <c r="J27" s="21">
        <f>VLOOKUP(B6,'Industry Averages(US)'!A2:S96,13)</f>
        <v>7.8564957246433781E-2</v>
      </c>
      <c r="K27" s="21">
        <f>VLOOKUP(B6,'Global industry averages'!A2:Z96,13)</f>
        <v>9.6381225103571791E-2</v>
      </c>
    </row>
    <row r="28" spans="1:11">
      <c r="A28" s="3" t="s">
        <v>25</v>
      </c>
      <c r="B28" s="28">
        <f>'Cost of capital worksheet'!E48</f>
        <v>8.3801813783256421E-2</v>
      </c>
      <c r="C28" s="9" t="s">
        <v>301</v>
      </c>
    </row>
    <row r="29" spans="1:11">
      <c r="A29" s="1" t="s">
        <v>26</v>
      </c>
      <c r="D29" s="12" t="s">
        <v>342</v>
      </c>
      <c r="E29" s="13"/>
      <c r="F29" s="13"/>
      <c r="G29" s="13"/>
      <c r="H29" s="13"/>
      <c r="I29" s="14"/>
    </row>
    <row r="30" spans="1:11">
      <c r="A30" s="3" t="s">
        <v>27</v>
      </c>
      <c r="B30" s="8" t="s">
        <v>295</v>
      </c>
      <c r="D30" s="16" t="s">
        <v>343</v>
      </c>
      <c r="I30" s="29">
        <f>'Valuation Output'!M3</f>
        <v>8631.6529990329964</v>
      </c>
    </row>
    <row r="31" spans="1:11">
      <c r="A31" s="3" t="s">
        <v>28</v>
      </c>
      <c r="B31" s="24">
        <v>3.6</v>
      </c>
      <c r="D31" s="16" t="s">
        <v>344</v>
      </c>
      <c r="I31" s="30">
        <f>'Valuation Output'!M5</f>
        <v>2330.5463097389093</v>
      </c>
    </row>
    <row r="32" spans="1:11">
      <c r="A32" s="3" t="s">
        <v>29</v>
      </c>
      <c r="B32" s="31">
        <v>82.6</v>
      </c>
      <c r="D32" s="16" t="s">
        <v>345</v>
      </c>
      <c r="I32" s="28">
        <f>'Valuation Output'!L40</f>
        <v>0.28959644305385251</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0.1017</v>
      </c>
      <c r="K39" s="36">
        <f>B27+4%</f>
        <v>8.1699999999999995E-2</v>
      </c>
    </row>
    <row r="40" spans="1:18">
      <c r="A40" s="3" t="s">
        <v>306</v>
      </c>
      <c r="P40" s="134" t="s">
        <v>617</v>
      </c>
      <c r="Q40" s="135"/>
      <c r="R40" s="136"/>
    </row>
    <row r="41" spans="1:18">
      <c r="A41" s="3" t="s">
        <v>304</v>
      </c>
      <c r="B41" s="8" t="s">
        <v>294</v>
      </c>
      <c r="C41" s="9" t="s">
        <v>323</v>
      </c>
      <c r="J41" s="140" t="s">
        <v>612</v>
      </c>
      <c r="K41" s="141"/>
      <c r="L41" s="141" t="s">
        <v>613</v>
      </c>
      <c r="M41" s="141"/>
      <c r="N41" s="142"/>
      <c r="P41" s="26" t="s">
        <v>614</v>
      </c>
      <c r="Q41" s="27" t="s">
        <v>615</v>
      </c>
      <c r="R41" s="32" t="s">
        <v>616</v>
      </c>
    </row>
    <row r="42" spans="1:18">
      <c r="A42" s="3" t="s">
        <v>307</v>
      </c>
      <c r="B42" s="15">
        <v>0.14000000000000001</v>
      </c>
      <c r="C42" s="9" t="s">
        <v>324</v>
      </c>
      <c r="J42" s="143">
        <f>B28+5%</f>
        <v>0.13380181378325642</v>
      </c>
      <c r="K42" s="144"/>
      <c r="L42" s="144">
        <f>B28+2.5%</f>
        <v>0.10880181378325643</v>
      </c>
      <c r="M42" s="144"/>
      <c r="N42" s="145"/>
      <c r="O42" s="3" t="s">
        <v>626</v>
      </c>
      <c r="P42" s="37">
        <f>B28+5%</f>
        <v>0.13380181378325642</v>
      </c>
      <c r="Q42" s="38">
        <f>J39+5%</f>
        <v>0.1517</v>
      </c>
      <c r="R42" s="39">
        <f>K39+5%</f>
        <v>0.13169999999999998</v>
      </c>
    </row>
    <row r="43" spans="1:18">
      <c r="A43" s="3" t="s">
        <v>308</v>
      </c>
      <c r="J43" s="137">
        <f>'Valuation Output'!M12+5%</f>
        <v>0.13669999999999999</v>
      </c>
      <c r="K43" s="138"/>
      <c r="L43" s="138">
        <f>'Valuation Output'!M12+2.5%</f>
        <v>0.11169999999999999</v>
      </c>
      <c r="M43" s="138"/>
      <c r="N43" s="139"/>
      <c r="O43" s="3" t="s">
        <v>627</v>
      </c>
      <c r="P43" s="40">
        <f>'Valuation Output'!M12+5%</f>
        <v>0.13669999999999999</v>
      </c>
      <c r="Q43" s="41">
        <f>J39+5%</f>
        <v>0.1517</v>
      </c>
      <c r="R43" s="42">
        <f>K39+5%</f>
        <v>0.13169999999999998</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3">
    <mergeCell ref="H1:J1"/>
    <mergeCell ref="H2:I2"/>
    <mergeCell ref="H3:I3"/>
    <mergeCell ref="H4:I4"/>
    <mergeCell ref="J2:J4"/>
    <mergeCell ref="E8:F8"/>
    <mergeCell ref="P40:R40"/>
    <mergeCell ref="J43:K43"/>
    <mergeCell ref="L43:N43"/>
    <mergeCell ref="J41:K41"/>
    <mergeCell ref="L41:N41"/>
    <mergeCell ref="J42:K42"/>
    <mergeCell ref="L42:N42"/>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F8" location="'TTM Calc'!A1" display="TTM Calculator" xr:uid="{B8430294-270C-491D-B3AD-D4EFFCC476A5}"/>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topLeftCell="P1" workbookViewId="0">
      <selection activeCell="X78" sqref="X78"/>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9.6130213372469048E-2</v>
      </c>
      <c r="E2" s="53">
        <v>0.31515111490453068</v>
      </c>
      <c r="F2" s="53">
        <v>0.20554353210253967</v>
      </c>
      <c r="G2" s="54">
        <v>1.1806104386629273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1.8346746746974021E-2</v>
      </c>
      <c r="V2" s="53">
        <v>-1.6886086216883787E-2</v>
      </c>
      <c r="W2" s="53">
        <v>0.16580160140452149</v>
      </c>
      <c r="X2" s="53">
        <v>3.2541006196152036E-2</v>
      </c>
      <c r="Y2" s="53">
        <v>2.828444643801165</v>
      </c>
      <c r="Z2" s="53">
        <v>2.828444643801165</v>
      </c>
    </row>
    <row r="3" spans="1:26">
      <c r="A3" s="3" t="s">
        <v>200</v>
      </c>
      <c r="B3" s="3">
        <v>70</v>
      </c>
      <c r="C3" s="53">
        <v>7.5882564102564082E-2</v>
      </c>
      <c r="D3" s="53">
        <v>8.5393846789115893E-2</v>
      </c>
      <c r="E3" s="53">
        <v>0.16167717664340658</v>
      </c>
      <c r="F3" s="53">
        <v>0.15449878451886198</v>
      </c>
      <c r="G3" s="54">
        <v>0.93085354059484426</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2.8342846696895605E-2</v>
      </c>
      <c r="V3" s="53">
        <v>2.282923210385782E-2</v>
      </c>
      <c r="W3" s="53">
        <v>-1.671215236463339E-2</v>
      </c>
      <c r="X3" s="53">
        <v>0.13191483651952815</v>
      </c>
      <c r="Y3" s="53">
        <v>0.53694697197206931</v>
      </c>
      <c r="Z3" s="53">
        <v>0.53694697197206931</v>
      </c>
    </row>
    <row r="4" spans="1:26">
      <c r="A4" s="3" t="s">
        <v>201</v>
      </c>
      <c r="B4" s="3">
        <v>25</v>
      </c>
      <c r="C4" s="53">
        <v>2.9028333333333337E-2</v>
      </c>
      <c r="D4" s="53">
        <v>6.8956114823073109E-2</v>
      </c>
      <c r="E4" s="53">
        <v>0.1092325173386668</v>
      </c>
      <c r="F4" s="53">
        <v>0.23528767545229368</v>
      </c>
      <c r="G4" s="54">
        <v>0.64018804683047448</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0.11159925638117965</v>
      </c>
      <c r="V4" s="53">
        <v>6.7202754627620362E-2</v>
      </c>
      <c r="W4" s="53">
        <v>0.50395048936072928</v>
      </c>
      <c r="X4" s="53">
        <v>0.219363538879951</v>
      </c>
      <c r="Y4" s="53">
        <v>7.8632719088479394E-2</v>
      </c>
      <c r="Z4" s="53">
        <v>7.8632719088479353E-2</v>
      </c>
    </row>
    <row r="5" spans="1:26">
      <c r="A5" s="3" t="s">
        <v>202</v>
      </c>
      <c r="B5" s="3">
        <v>38</v>
      </c>
      <c r="C5" s="53">
        <v>5.7186000000000001E-2</v>
      </c>
      <c r="D5" s="53">
        <v>8.7577811977779155E-2</v>
      </c>
      <c r="E5" s="53">
        <v>0.15293487788906657</v>
      </c>
      <c r="F5" s="53">
        <v>0.32165919331897802</v>
      </c>
      <c r="G5" s="54">
        <v>0.92957565005501674</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2.41727298617933E-2</v>
      </c>
      <c r="V5" s="53">
        <v>5.3650838666078442E-3</v>
      </c>
      <c r="W5" s="53">
        <v>0.40284567963839019</v>
      </c>
      <c r="X5" s="53">
        <v>9.204171598277805E-2</v>
      </c>
      <c r="Y5" s="53">
        <v>0.74982998278991408</v>
      </c>
      <c r="Z5" s="53">
        <v>0.74982998278991408</v>
      </c>
    </row>
    <row r="6" spans="1:26">
      <c r="A6" s="3" t="s">
        <v>203</v>
      </c>
      <c r="B6" s="3">
        <v>34</v>
      </c>
      <c r="C6" s="53">
        <v>0.21942111111111109</v>
      </c>
      <c r="D6" s="53">
        <v>4.8197319767260507E-2</v>
      </c>
      <c r="E6" s="53">
        <v>5.1866325086608607E-2</v>
      </c>
      <c r="F6" s="53">
        <v>0.13206977576521484</v>
      </c>
      <c r="G6" s="54">
        <v>1.3040309184380587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6.409275484587712E-2</v>
      </c>
      <c r="V6" s="53">
        <v>2.6576673289955756E-2</v>
      </c>
      <c r="W6" s="53">
        <v>0.15485672710250106</v>
      </c>
      <c r="X6" s="53">
        <v>9.3709081086337465E-2</v>
      </c>
      <c r="Y6" s="53">
        <v>0.35459224927693617</v>
      </c>
      <c r="Z6" s="53">
        <v>0.35459224927693622</v>
      </c>
    </row>
    <row r="7" spans="1:26">
      <c r="A7" s="3" t="s">
        <v>204</v>
      </c>
      <c r="B7" s="3">
        <v>39</v>
      </c>
      <c r="C7" s="53">
        <v>6.2846956521739161E-2</v>
      </c>
      <c r="D7" s="53">
        <v>5.3068985394390568E-2</v>
      </c>
      <c r="E7" s="53">
        <v>0.10156047044070848</v>
      </c>
      <c r="F7" s="53">
        <v>0.2795040993246159</v>
      </c>
      <c r="G7" s="54">
        <v>1.1211038704345888</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3.7078148075236982E-2</v>
      </c>
      <c r="V7" s="53">
        <v>3.1693603646353471E-2</v>
      </c>
      <c r="W7" s="53">
        <v>0.70321264532913874</v>
      </c>
      <c r="X7" s="53">
        <v>5.7236136729090913E-2</v>
      </c>
      <c r="Y7" s="53">
        <v>0.4536555295436519</v>
      </c>
      <c r="Z7" s="53">
        <v>0.45365552954365196</v>
      </c>
    </row>
    <row r="8" spans="1:26">
      <c r="A8" s="3" t="s">
        <v>205</v>
      </c>
      <c r="B8" s="3">
        <v>15</v>
      </c>
      <c r="C8" s="53">
        <v>7.2753846153846155E-2</v>
      </c>
      <c r="D8" s="53">
        <v>0</v>
      </c>
      <c r="E8" s="53">
        <v>1.7809965864835952E-4</v>
      </c>
      <c r="F8" s="53">
        <v>0.15860164261163576</v>
      </c>
      <c r="G8" s="54">
        <v>0.64400511784529801</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1.9731137380717412E-2</v>
      </c>
      <c r="V8" s="53">
        <v>1.2953142452475423E-2</v>
      </c>
      <c r="W8" s="3">
        <v>0.99702940057992662</v>
      </c>
      <c r="X8" s="53">
        <v>0.14874034732315899</v>
      </c>
      <c r="Y8" s="53">
        <v>0.24337970298838549</v>
      </c>
      <c r="Z8" s="53">
        <v>0.24337970298838552</v>
      </c>
    </row>
    <row r="9" spans="1:26">
      <c r="A9" s="3" t="s">
        <v>206</v>
      </c>
      <c r="B9" s="3">
        <v>625</v>
      </c>
      <c r="C9" s="53">
        <v>9.2156242299794702E-2</v>
      </c>
      <c r="D9" s="53">
        <v>3.6415348617892096E-8</v>
      </c>
      <c r="E9" s="53">
        <v>-5.3374958145126011E-4</v>
      </c>
      <c r="F9" s="53">
        <v>0.20724129233055669</v>
      </c>
      <c r="G9" s="54">
        <v>0.33336660673496787</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2.7336820130708508E-2</v>
      </c>
      <c r="V9" s="53">
        <v>-0.10087904726752299</v>
      </c>
      <c r="W9" s="3">
        <v>1.7342755771524554</v>
      </c>
      <c r="X9" s="53">
        <v>0.12142592116953591</v>
      </c>
      <c r="Y9" s="53">
        <v>0.32014617865318346</v>
      </c>
      <c r="Z9" s="53">
        <v>0.3201461786531834</v>
      </c>
    </row>
    <row r="10" spans="1:26">
      <c r="A10" s="3" t="s">
        <v>207</v>
      </c>
      <c r="B10" s="3">
        <v>19</v>
      </c>
      <c r="C10" s="53">
        <v>0.12062222222222224</v>
      </c>
      <c r="D10" s="53">
        <v>0.20626605729454345</v>
      </c>
      <c r="E10" s="53">
        <v>0.16670846804136458</v>
      </c>
      <c r="F10" s="53">
        <v>0.25595531935006144</v>
      </c>
      <c r="G10" s="54">
        <v>0.97026335212736425</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7.6631776152694453E-2</v>
      </c>
      <c r="V10" s="53">
        <v>9.390305849002889E-2</v>
      </c>
      <c r="W10" s="53">
        <v>1.4626231735473461</v>
      </c>
      <c r="X10" s="53">
        <v>8.69908980857384E-2</v>
      </c>
      <c r="Y10" s="53">
        <v>0.54634665208152333</v>
      </c>
      <c r="Z10" s="53">
        <v>0.54634665208152333</v>
      </c>
    </row>
    <row r="11" spans="1:26">
      <c r="A11" s="3" t="s">
        <v>208</v>
      </c>
      <c r="B11" s="3">
        <v>29</v>
      </c>
      <c r="C11" s="53">
        <v>0.28579076923076918</v>
      </c>
      <c r="D11" s="53">
        <v>0.19303402977387185</v>
      </c>
      <c r="E11" s="53">
        <v>0.3065163030779624</v>
      </c>
      <c r="F11" s="53">
        <v>0.18728623048491203</v>
      </c>
      <c r="G11" s="54">
        <v>0.70183334721111912</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4.6538312568521902E-2</v>
      </c>
      <c r="V11" s="53">
        <v>2.386992815326883E-2</v>
      </c>
      <c r="W11" s="53">
        <v>-0.12400404330731554</v>
      </c>
      <c r="X11" s="53">
        <v>0.30557353679830446</v>
      </c>
      <c r="Y11" s="53">
        <v>0.6638966866591276</v>
      </c>
      <c r="Z11" s="53">
        <v>0.6638966866591276</v>
      </c>
    </row>
    <row r="12" spans="1:26">
      <c r="A12" s="3" t="s">
        <v>209</v>
      </c>
      <c r="B12" s="3">
        <v>22</v>
      </c>
      <c r="C12" s="53">
        <v>5.4847058823529415E-2</v>
      </c>
      <c r="D12" s="53">
        <v>0.11778498155713862</v>
      </c>
      <c r="E12" s="53">
        <v>0.12063888924002568</v>
      </c>
      <c r="F12" s="53">
        <v>0.26271149782887182</v>
      </c>
      <c r="G12" s="54">
        <v>0.49975667452480371</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2.5150013344556445E-2</v>
      </c>
      <c r="V12" s="53">
        <v>-2.0612152442738167E-2</v>
      </c>
      <c r="W12" s="53">
        <v>-0.82957560768677063</v>
      </c>
      <c r="X12" s="53">
        <v>-2.1565149058570276E-2</v>
      </c>
      <c r="Y12" s="53">
        <v>2.1958759739129407E-3</v>
      </c>
      <c r="Z12" s="53">
        <v>2.1958759739129086E-3</v>
      </c>
    </row>
    <row r="13" spans="1:26">
      <c r="A13" s="3" t="s">
        <v>210</v>
      </c>
      <c r="B13" s="3">
        <v>27</v>
      </c>
      <c r="C13" s="53">
        <v>0.12787473684210526</v>
      </c>
      <c r="D13" s="53">
        <v>7.7058531092326328E-3</v>
      </c>
      <c r="E13" s="53">
        <v>1.307446941021954E-3</v>
      </c>
      <c r="F13" s="53">
        <v>0.21046665127451775</v>
      </c>
      <c r="G13" s="54">
        <v>0.55077822149952105</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3.4125847634679171E-2</v>
      </c>
      <c r="V13" s="53">
        <v>1.6766162791348155E-2</v>
      </c>
      <c r="W13" s="53">
        <v>-0.97271208117751418</v>
      </c>
      <c r="X13" s="53">
        <v>0.10413110832014963</v>
      </c>
      <c r="Y13" s="53">
        <v>0.4352511082051424</v>
      </c>
      <c r="Z13" s="53">
        <v>0.43525110820514246</v>
      </c>
    </row>
    <row r="14" spans="1:26">
      <c r="A14" s="3" t="s">
        <v>211</v>
      </c>
      <c r="B14" s="3">
        <v>44</v>
      </c>
      <c r="C14" s="53">
        <v>6.4077647058823517E-2</v>
      </c>
      <c r="D14" s="53">
        <v>0.13549668839875367</v>
      </c>
      <c r="E14" s="53">
        <v>0.25267057444947799</v>
      </c>
      <c r="F14" s="53">
        <v>0.24749103744997217</v>
      </c>
      <c r="G14" s="54">
        <v>1.2090471865786552</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3.2512733848203627E-2</v>
      </c>
      <c r="V14" s="53">
        <v>2.4513125773923429E-2</v>
      </c>
      <c r="W14" s="53">
        <v>-0.59412378257803355</v>
      </c>
      <c r="X14" s="53">
        <v>0.21354650605206582</v>
      </c>
      <c r="Y14" s="53">
        <v>0.29019405797616848</v>
      </c>
      <c r="Z14" s="53">
        <v>0.29019405797616848</v>
      </c>
    </row>
    <row r="15" spans="1:26">
      <c r="A15" s="3" t="s">
        <v>212</v>
      </c>
      <c r="B15" s="3">
        <v>162</v>
      </c>
      <c r="C15" s="53">
        <v>6.6924269662921379E-2</v>
      </c>
      <c r="D15" s="53">
        <v>0.11098788170854047</v>
      </c>
      <c r="E15" s="53">
        <v>0.27452359974428153</v>
      </c>
      <c r="F15" s="53">
        <v>0.24242512766060723</v>
      </c>
      <c r="G15" s="54">
        <v>0.92964265743301178</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2.9848449272908677E-2</v>
      </c>
      <c r="V15" s="53">
        <v>1.6940121240038436E-2</v>
      </c>
      <c r="W15" s="53" t="s">
        <v>584</v>
      </c>
      <c r="X15" s="53">
        <v>0.1399754737551486</v>
      </c>
      <c r="Y15" s="53">
        <v>0.59783007780719277</v>
      </c>
      <c r="Z15" s="53">
        <v>0.59783007780719277</v>
      </c>
    </row>
    <row r="16" spans="1:26">
      <c r="A16" s="3" t="s">
        <v>213</v>
      </c>
      <c r="B16" s="3">
        <v>10</v>
      </c>
      <c r="C16" s="53">
        <v>0.16231666666666669</v>
      </c>
      <c r="D16" s="53">
        <v>0.19465081924755748</v>
      </c>
      <c r="E16" s="53">
        <v>0.11311872163563386</v>
      </c>
      <c r="F16" s="53">
        <v>0.25555176669754759</v>
      </c>
      <c r="G16" s="54">
        <v>0.73562954032076278</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0.14079353806475833</v>
      </c>
      <c r="V16" s="53">
        <v>1.6512641327761278E-2</v>
      </c>
      <c r="W16" s="53">
        <v>0.56158342782299575</v>
      </c>
      <c r="X16" s="53">
        <v>0.19466771140821634</v>
      </c>
      <c r="Y16" s="53">
        <v>0.21927067291667543</v>
      </c>
      <c r="Z16" s="53">
        <v>0.21927067291667546</v>
      </c>
    </row>
    <row r="17" spans="1:26">
      <c r="A17" s="3" t="s">
        <v>214</v>
      </c>
      <c r="B17" s="3">
        <v>32</v>
      </c>
      <c r="C17" s="53">
        <v>0.11316100000000001</v>
      </c>
      <c r="D17" s="53">
        <v>7.8809382448858323E-2</v>
      </c>
      <c r="E17" s="53">
        <v>0.11808931523559212</v>
      </c>
      <c r="F17" s="53">
        <v>0.23971308008564993</v>
      </c>
      <c r="G17" s="54">
        <v>0.87469078478798268</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5.5075323588956941E-2</v>
      </c>
      <c r="V17" s="53">
        <v>3.0793498175279994E-2</v>
      </c>
      <c r="W17" s="53">
        <v>0.75607995316740739</v>
      </c>
      <c r="X17" s="53">
        <v>8.8946041576985921E-2</v>
      </c>
      <c r="Y17" s="53">
        <v>1.3126657214952435</v>
      </c>
      <c r="Z17" s="53">
        <v>1.3126657214952435</v>
      </c>
    </row>
    <row r="18" spans="1:26">
      <c r="A18" s="3" t="s">
        <v>215</v>
      </c>
      <c r="B18" s="3">
        <v>4</v>
      </c>
      <c r="C18" s="53">
        <v>-7.5500000000000038E-3</v>
      </c>
      <c r="D18" s="53">
        <v>1.5232688891083214E-2</v>
      </c>
      <c r="E18" s="53">
        <v>1.5720852535763625E-2</v>
      </c>
      <c r="F18" s="53">
        <v>0.44293366295838488</v>
      </c>
      <c r="G18" s="54">
        <v>0.81346085769352849</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4.511777011805717E-2</v>
      </c>
      <c r="V18" s="53">
        <v>-5.7903354329949218E-3</v>
      </c>
      <c r="W18" s="53">
        <v>0.34511083241843721</v>
      </c>
      <c r="X18" s="53">
        <v>-2.3605004225089869E-2</v>
      </c>
      <c r="Y18" s="53">
        <v>1.037037037037037E-2</v>
      </c>
      <c r="Z18" s="53">
        <v>1.0370370370370363E-2</v>
      </c>
    </row>
    <row r="19" spans="1:26">
      <c r="A19" s="3" t="s">
        <v>216</v>
      </c>
      <c r="B19" s="3">
        <v>68</v>
      </c>
      <c r="C19" s="53">
        <v>7.3318750000000016E-2</v>
      </c>
      <c r="D19" s="53">
        <v>0.13090390749762712</v>
      </c>
      <c r="E19" s="53">
        <v>0.13505275648152232</v>
      </c>
      <c r="F19" s="53">
        <v>0.18266700211687126</v>
      </c>
      <c r="G19" s="54">
        <v>0.93813574342911976</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8.4587824919642812E-2</v>
      </c>
      <c r="V19" s="53">
        <v>9.8115172777548026E-2</v>
      </c>
      <c r="W19" s="53">
        <v>0.71346116785558666</v>
      </c>
      <c r="X19" s="53">
        <v>0.14943273384769459</v>
      </c>
      <c r="Y19" s="53">
        <v>0.33249927210754887</v>
      </c>
      <c r="Z19" s="53">
        <v>0.33249927210754882</v>
      </c>
    </row>
    <row r="20" spans="1:26">
      <c r="A20" s="3" t="s">
        <v>217</v>
      </c>
      <c r="B20" s="3">
        <v>18</v>
      </c>
      <c r="C20" s="53">
        <v>5.559999999999999E-2</v>
      </c>
      <c r="D20" s="53">
        <v>0.20509759118732937</v>
      </c>
      <c r="E20" s="53">
        <v>0.29497550992564786</v>
      </c>
      <c r="F20" s="53">
        <v>0.13126063867339174</v>
      </c>
      <c r="G20" s="54">
        <v>1.2427250283125129</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9.3046119803254237E-2</v>
      </c>
      <c r="V20" s="53">
        <v>1.5940120019722653E-2</v>
      </c>
      <c r="W20" s="53">
        <v>2.3337337560001278E-2</v>
      </c>
      <c r="X20" s="53">
        <v>0.29069215958320355</v>
      </c>
      <c r="Y20" s="53">
        <v>0.15155665948302102</v>
      </c>
      <c r="Z20" s="53">
        <v>0.15155665948302099</v>
      </c>
    </row>
    <row r="21" spans="1:26">
      <c r="A21" s="3" t="s">
        <v>218</v>
      </c>
      <c r="B21" s="3">
        <v>72</v>
      </c>
      <c r="C21" s="53">
        <v>0.10926473684210528</v>
      </c>
      <c r="D21" s="53">
        <v>6.9781750755169278E-2</v>
      </c>
      <c r="E21" s="53">
        <v>0.24167411086330845</v>
      </c>
      <c r="F21" s="53">
        <v>0.18859681218443272</v>
      </c>
      <c r="G21" s="54">
        <v>0.85869750711737747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1.2325750009423415E-2</v>
      </c>
      <c r="V21" s="53">
        <v>8.2343910033029176E-3</v>
      </c>
      <c r="W21" s="53">
        <v>1.0375036244575058</v>
      </c>
      <c r="X21" s="53">
        <v>0.18772570752648005</v>
      </c>
      <c r="Y21" s="53">
        <v>0.57072644434029085</v>
      </c>
      <c r="Z21" s="53">
        <v>0.57072644434029085</v>
      </c>
    </row>
    <row r="22" spans="1:26">
      <c r="A22" s="3" t="s">
        <v>219</v>
      </c>
      <c r="B22" s="3">
        <v>36</v>
      </c>
      <c r="C22" s="53">
        <v>2.3118148148148145E-2</v>
      </c>
      <c r="D22" s="53">
        <v>0.21063899949335566</v>
      </c>
      <c r="E22" s="53">
        <v>0.37798197124632166</v>
      </c>
      <c r="F22" s="53">
        <v>0.146118607992441</v>
      </c>
      <c r="G22" s="54">
        <v>1.1003543807483607</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3.0597659642645401E-2</v>
      </c>
      <c r="V22" s="53">
        <v>9.0047013395217704E-3</v>
      </c>
      <c r="W22" s="53">
        <v>0.79447833647214905</v>
      </c>
      <c r="X22" s="53">
        <v>-1.2342890084991339E-5</v>
      </c>
      <c r="Y22" s="53">
        <v>0.17443899392066986</v>
      </c>
      <c r="Z22" s="53">
        <v>0.17443899392066986</v>
      </c>
    </row>
    <row r="23" spans="1:26">
      <c r="A23" s="3" t="s">
        <v>220</v>
      </c>
      <c r="B23" s="3">
        <v>11</v>
      </c>
      <c r="C23" s="53">
        <v>9.3214285714285708E-2</v>
      </c>
      <c r="D23" s="53">
        <v>0.19042805922763226</v>
      </c>
      <c r="E23" s="53">
        <v>0.16917184600449708</v>
      </c>
      <c r="F23" s="53">
        <v>0.20587654716037279</v>
      </c>
      <c r="G23" s="54">
        <v>0.85045702070612572</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9.466841831568E-2</v>
      </c>
      <c r="V23" s="53">
        <v>3.4544525640674763E-2</v>
      </c>
      <c r="W23" s="53">
        <v>1.1428223096616057</v>
      </c>
      <c r="X23" s="53">
        <v>0.1720397075859865</v>
      </c>
      <c r="Y23" s="53">
        <v>0.15193309779614278</v>
      </c>
      <c r="Z23" s="53">
        <v>0.15193309779614284</v>
      </c>
    </row>
    <row r="24" spans="1:26">
      <c r="A24" s="3" t="s">
        <v>221</v>
      </c>
      <c r="B24" s="3">
        <v>23</v>
      </c>
      <c r="C24" s="53">
        <v>6.9406363636363641E-2</v>
      </c>
      <c r="D24" s="53">
        <v>0.22931748516386233</v>
      </c>
      <c r="E24" s="53">
        <v>0.20395197737613438</v>
      </c>
      <c r="F24" s="53">
        <v>0.17651836241260768</v>
      </c>
      <c r="G24" s="54">
        <v>1.0923486152033832</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4.4830248929640291E-2</v>
      </c>
      <c r="V24" s="53">
        <v>4.6101030377602686E-2</v>
      </c>
      <c r="W24" s="53">
        <v>-0.81803643279498717</v>
      </c>
      <c r="X24" s="53">
        <v>0.15867710900985088</v>
      </c>
      <c r="Y24" s="53">
        <v>8.1605407127575316E-2</v>
      </c>
      <c r="Z24" s="53">
        <v>8.1605407127575358E-2</v>
      </c>
    </row>
    <row r="25" spans="1:26">
      <c r="A25" s="3" t="s">
        <v>222</v>
      </c>
      <c r="B25" s="3">
        <v>572</v>
      </c>
      <c r="C25" s="53">
        <v>0.18950851190476192</v>
      </c>
      <c r="D25" s="53">
        <v>1.0772125793898567E-2</v>
      </c>
      <c r="E25" s="53">
        <v>1.5551579144381567E-2</v>
      </c>
      <c r="F25" s="53">
        <v>0.16414119075344816</v>
      </c>
      <c r="G25" s="54">
        <v>1.0890964696256169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3.8231005472018041E-2</v>
      </c>
      <c r="V25" s="53">
        <v>3.468871974612317E-2</v>
      </c>
      <c r="W25" s="53">
        <v>0.55230156249920015</v>
      </c>
      <c r="X25" s="53">
        <v>-0.11590040227481527</v>
      </c>
      <c r="Y25" s="53">
        <v>8.849667367975925E-4</v>
      </c>
      <c r="Z25" s="53">
        <v>8.8496673679760995E-4</v>
      </c>
    </row>
    <row r="26" spans="1:26">
      <c r="A26" s="3" t="s">
        <v>223</v>
      </c>
      <c r="B26" s="3">
        <v>245</v>
      </c>
      <c r="C26" s="53">
        <v>0.41537666666666667</v>
      </c>
      <c r="D26" s="53">
        <v>0.1816047184019137</v>
      </c>
      <c r="E26" s="53">
        <v>0.13375270622156929</v>
      </c>
      <c r="F26" s="53">
        <v>0.14924679402968208</v>
      </c>
      <c r="G26" s="54">
        <v>0.94399768677855111</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5.3053463594413347E-2</v>
      </c>
      <c r="V26" s="53">
        <v>0.1297351632612678</v>
      </c>
      <c r="W26" s="53">
        <v>-0.32002680606024081</v>
      </c>
      <c r="X26" s="53">
        <v>0.17320808107952249</v>
      </c>
      <c r="Y26" s="53">
        <v>0.69958361802549229</v>
      </c>
      <c r="Z26" s="53">
        <v>0.69958361802549229</v>
      </c>
    </row>
    <row r="27" spans="1:26">
      <c r="A27" s="3" t="s">
        <v>224</v>
      </c>
      <c r="B27" s="3">
        <v>31</v>
      </c>
      <c r="C27" s="53">
        <v>4.1181874999999993E-2</v>
      </c>
      <c r="D27" s="53">
        <v>5.8152137730714419E-2</v>
      </c>
      <c r="E27" s="53">
        <v>5.9280308281626143E-2</v>
      </c>
      <c r="F27" s="53">
        <v>0.32156187378758871</v>
      </c>
      <c r="G27" s="54">
        <v>1.1467394309363781</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2.9240501681576912E-2</v>
      </c>
      <c r="V27" s="53">
        <v>3.3245288819538331E-3</v>
      </c>
      <c r="W27" s="53">
        <v>0.49863224477303802</v>
      </c>
      <c r="X27" s="53">
        <v>1.6746880536467494E-2</v>
      </c>
      <c r="Y27" s="53">
        <v>0.38078808076847676</v>
      </c>
      <c r="Z27" s="53">
        <v>0.3807880807684767</v>
      </c>
    </row>
    <row r="28" spans="1:26">
      <c r="A28" s="3" t="s">
        <v>225</v>
      </c>
      <c r="B28" s="3">
        <v>103</v>
      </c>
      <c r="C28" s="53">
        <v>0.14907829787234042</v>
      </c>
      <c r="D28" s="53">
        <v>9.0010627576211533E-2</v>
      </c>
      <c r="E28" s="53">
        <v>0.13265964322266596</v>
      </c>
      <c r="F28" s="53">
        <v>0.21670554463683422</v>
      </c>
      <c r="G28" s="54">
        <v>1.145843471951508</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6.1632530290405142E-2</v>
      </c>
      <c r="V28" s="53">
        <v>9.8179239343670066E-2</v>
      </c>
      <c r="W28" s="53">
        <v>0.13881169088914808</v>
      </c>
      <c r="X28" s="53">
        <v>0.23703235618633814</v>
      </c>
      <c r="Y28" s="53">
        <v>0.17177866341194353</v>
      </c>
      <c r="Z28" s="53">
        <v>0.17177866341194359</v>
      </c>
    </row>
    <row r="29" spans="1:26">
      <c r="A29" s="3" t="s">
        <v>226</v>
      </c>
      <c r="B29" s="3">
        <v>13</v>
      </c>
      <c r="C29" s="53">
        <v>-6.3210000000000002E-2</v>
      </c>
      <c r="D29" s="53">
        <v>-7.643401586021315E-4</v>
      </c>
      <c r="E29" s="53">
        <v>9.5426355462240233E-3</v>
      </c>
      <c r="F29" s="53">
        <v>0.6944234404536862</v>
      </c>
      <c r="G29" s="54">
        <v>1.3029636093516688</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1.5568092728386464E-2</v>
      </c>
      <c r="V29" s="53">
        <v>-2.2079528200980025E-3</v>
      </c>
      <c r="W29" s="53">
        <v>0.50270712026329756</v>
      </c>
      <c r="X29" s="53">
        <v>-6.6268001387247435E-2</v>
      </c>
      <c r="Y29" s="53">
        <v>0</v>
      </c>
      <c r="Z29" s="53">
        <v>0</v>
      </c>
    </row>
    <row r="30" spans="1:26">
      <c r="A30" s="3" t="s">
        <v>227</v>
      </c>
      <c r="B30" s="3">
        <v>129</v>
      </c>
      <c r="C30" s="53">
        <v>0.15823965116279071</v>
      </c>
      <c r="D30" s="53">
        <v>9.4816605584407423E-2</v>
      </c>
      <c r="E30" s="53">
        <v>0.15114383953059968</v>
      </c>
      <c r="F30" s="53">
        <v>0.22613287894821063</v>
      </c>
      <c r="G30" s="54">
        <v>0.8772051743933108</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4.0634673225505777E-2</v>
      </c>
      <c r="V30" s="53">
        <v>4.116813973531535E-2</v>
      </c>
      <c r="W30" s="53">
        <v>-0.20182594713277416</v>
      </c>
      <c r="X30" s="53">
        <v>8.797660106927524E-2</v>
      </c>
      <c r="Y30" s="53">
        <v>0.28526884031561212</v>
      </c>
      <c r="Z30" s="53">
        <v>0.28526884031561206</v>
      </c>
    </row>
    <row r="31" spans="1:26">
      <c r="A31" s="3" t="s">
        <v>228</v>
      </c>
      <c r="B31" s="3">
        <v>77</v>
      </c>
      <c r="C31" s="53">
        <v>6.5536666666666632E-2</v>
      </c>
      <c r="D31" s="53">
        <v>0.10360185076313747</v>
      </c>
      <c r="E31" s="53">
        <v>0.18528356431084828</v>
      </c>
      <c r="F31" s="53">
        <v>0.2368733194672781</v>
      </c>
      <c r="G31" s="54">
        <v>0.92403959370273336</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3.7420769095906761E-2</v>
      </c>
      <c r="V31" s="53">
        <v>2.8433401793941292E-2</v>
      </c>
      <c r="W31" s="53">
        <v>0.46794430766934031</v>
      </c>
      <c r="X31" s="53">
        <v>0.21241763392703947</v>
      </c>
      <c r="Y31" s="53">
        <v>0.2474936008483172</v>
      </c>
      <c r="Z31" s="53">
        <v>0.24749360084831717</v>
      </c>
    </row>
    <row r="32" spans="1:26">
      <c r="A32" s="3" t="s">
        <v>229</v>
      </c>
      <c r="B32" s="3">
        <v>98</v>
      </c>
      <c r="C32" s="53">
        <v>0.15469137931034482</v>
      </c>
      <c r="D32" s="53">
        <v>7.0067935835321643E-2</v>
      </c>
      <c r="E32" s="53">
        <v>7.5578911739182089E-2</v>
      </c>
      <c r="F32" s="53">
        <v>0.19997160037162454</v>
      </c>
      <c r="G32" s="54">
        <v>0.86571919280395593</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4.3745016460205635E-2</v>
      </c>
      <c r="V32" s="53">
        <v>-2.2575917320574641E-2</v>
      </c>
      <c r="W32" s="53" t="s">
        <v>584</v>
      </c>
      <c r="X32" s="53">
        <v>-2.7275543810870717E-3</v>
      </c>
      <c r="Y32" s="53">
        <v>3.4346522556140007E-3</v>
      </c>
      <c r="Z32" s="53">
        <v>3.4346522556140124E-3</v>
      </c>
    </row>
    <row r="33" spans="1:26">
      <c r="A33" s="3" t="s">
        <v>230</v>
      </c>
      <c r="B33" s="3">
        <v>57</v>
      </c>
      <c r="C33" s="53">
        <v>0.13381230769230767</v>
      </c>
      <c r="D33" s="53">
        <v>0.13553472241576553</v>
      </c>
      <c r="E33" s="53">
        <v>0.29942483961191058</v>
      </c>
      <c r="F33" s="53">
        <v>0.24029481031347999</v>
      </c>
      <c r="G33" s="54">
        <v>0.78573019548056033</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7.8381742161797524E-2</v>
      </c>
      <c r="V33" s="53">
        <v>6.4845913725881957E-2</v>
      </c>
      <c r="W33" s="53">
        <v>0.36380231425923271</v>
      </c>
      <c r="X33" s="53">
        <v>0.2101163487107984</v>
      </c>
      <c r="Y33" s="53">
        <v>0.3634221878468773</v>
      </c>
      <c r="Z33" s="53">
        <v>0.3634221878468773</v>
      </c>
    </row>
    <row r="34" spans="1:26">
      <c r="A34" s="3" t="s">
        <v>231</v>
      </c>
      <c r="B34" s="3">
        <v>42</v>
      </c>
      <c r="C34" s="53">
        <v>0.21383809523809522</v>
      </c>
      <c r="D34" s="53">
        <v>0.1017867183533354</v>
      </c>
      <c r="E34" s="53">
        <v>0.17930588293067248</v>
      </c>
      <c r="F34" s="53">
        <v>0.20906218860773967</v>
      </c>
      <c r="G34" s="54">
        <v>0.76921333535098557</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3.3959385963758186E-2</v>
      </c>
      <c r="V34" s="53">
        <v>2.6989790167118995E-2</v>
      </c>
      <c r="W34" s="53">
        <v>0.15698783414294129</v>
      </c>
      <c r="X34" s="53">
        <v>0.27512096983755308</v>
      </c>
      <c r="Y34" s="53">
        <v>0.17330466660689933</v>
      </c>
      <c r="Z34" s="53">
        <v>0.17330466660689936</v>
      </c>
    </row>
    <row r="35" spans="1:26">
      <c r="A35" s="3" t="s">
        <v>232</v>
      </c>
      <c r="B35" s="3">
        <v>192</v>
      </c>
      <c r="C35" s="53">
        <v>0.19123907563025216</v>
      </c>
      <c r="D35" s="53">
        <v>0.15992933926673833</v>
      </c>
      <c r="E35" s="53">
        <v>9.6330086209587031E-3</v>
      </c>
      <c r="F35" s="53">
        <v>0.18997827291193156</v>
      </c>
      <c r="G35" s="54">
        <v>0.32851469580529807</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2.8409763229394477E-2</v>
      </c>
      <c r="V35" s="53">
        <v>2.7841238176068952E-2</v>
      </c>
      <c r="W35" s="53">
        <v>0.5510450483030811</v>
      </c>
      <c r="X35" s="53">
        <v>0.21311643829434393</v>
      </c>
      <c r="Y35" s="53">
        <v>0.31700384210797466</v>
      </c>
      <c r="Z35" s="53">
        <v>0.31700384210797461</v>
      </c>
    </row>
    <row r="36" spans="1:26">
      <c r="A36" s="3" t="s">
        <v>233</v>
      </c>
      <c r="B36" s="3">
        <v>93</v>
      </c>
      <c r="C36" s="53">
        <v>6.4526666666666663E-2</v>
      </c>
      <c r="D36" s="53">
        <v>0.10491049844080848</v>
      </c>
      <c r="E36" s="53">
        <v>0.16632787981640612</v>
      </c>
      <c r="F36" s="53">
        <v>0.22335961513857117</v>
      </c>
      <c r="G36" s="54">
        <v>0.56908998002411471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4.469492651895738E-2</v>
      </c>
      <c r="V36" s="53">
        <v>3.3044851127673275E-2</v>
      </c>
      <c r="W36" s="53">
        <v>0.36669384113949066</v>
      </c>
      <c r="X36" s="53">
        <v>8.9774903428867805E-2</v>
      </c>
      <c r="Y36" s="53">
        <v>0.76422137793570577</v>
      </c>
      <c r="Z36" s="53">
        <v>0.76422137793570577</v>
      </c>
    </row>
    <row r="37" spans="1:26">
      <c r="A37" s="3" t="s">
        <v>234</v>
      </c>
      <c r="B37" s="3">
        <v>14</v>
      </c>
      <c r="C37" s="53">
        <v>0.18654000000000004</v>
      </c>
      <c r="D37" s="53">
        <v>2.2317777961135557E-2</v>
      </c>
      <c r="E37" s="53">
        <v>0.14961754390226162</v>
      </c>
      <c r="F37" s="53">
        <v>0.2440190000210877</v>
      </c>
      <c r="G37" s="54">
        <v>0.73507044655838505</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9.3056479659282213E-3</v>
      </c>
      <c r="V37" s="53">
        <v>8.9900828796691135E-3</v>
      </c>
      <c r="W37" s="53">
        <v>0.20122305244722491</v>
      </c>
      <c r="X37" s="53">
        <v>0.21114375328629606</v>
      </c>
      <c r="Y37" s="53">
        <v>0.38161390503630449</v>
      </c>
      <c r="Z37" s="53">
        <v>0.38161390503630455</v>
      </c>
    </row>
    <row r="38" spans="1:26">
      <c r="A38" s="3" t="s">
        <v>235</v>
      </c>
      <c r="B38" s="3">
        <v>31</v>
      </c>
      <c r="C38" s="53">
        <v>3.1330476190476186E-2</v>
      </c>
      <c r="D38" s="53">
        <v>5.8633420949189427E-2</v>
      </c>
      <c r="E38" s="53">
        <v>0.1031461588962982</v>
      </c>
      <c r="F38" s="53">
        <v>0.34491477746639632</v>
      </c>
      <c r="G38" s="54">
        <v>0.86118748521761213</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3.2449167583192058E-2</v>
      </c>
      <c r="V38" s="53">
        <v>7.2155187930717318E-2</v>
      </c>
      <c r="W38" s="53">
        <v>1.17639869037906</v>
      </c>
      <c r="X38" s="53">
        <v>-6.5262790801996332E-2</v>
      </c>
      <c r="Y38" s="53">
        <v>8.5617107786026027E-3</v>
      </c>
      <c r="Z38" s="53">
        <v>8.5617107786025715E-3</v>
      </c>
    </row>
    <row r="39" spans="1:26">
      <c r="A39" s="3" t="s">
        <v>236</v>
      </c>
      <c r="B39" s="3">
        <v>17</v>
      </c>
      <c r="C39" s="53">
        <v>3.7350000000000001E-2</v>
      </c>
      <c r="D39" s="53">
        <v>0.23439691972396948</v>
      </c>
      <c r="E39" s="53">
        <v>4.1502730750869E-2</v>
      </c>
      <c r="F39" s="53">
        <v>7.0572558077555192E-2</v>
      </c>
      <c r="G39" s="54">
        <v>0.55608601915516875</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0.44316771676285083</v>
      </c>
      <c r="V39" s="53">
        <v>0.20460875674779533</v>
      </c>
      <c r="W39" s="53">
        <v>0.72064765595835767</v>
      </c>
      <c r="X39" s="53">
        <v>0.10675101428653834</v>
      </c>
      <c r="Y39" s="53">
        <v>0.2559530242443892</v>
      </c>
      <c r="Z39" s="53">
        <v>0.25595302424438926</v>
      </c>
    </row>
    <row r="40" spans="1:26">
      <c r="A40" s="3" t="s">
        <v>237</v>
      </c>
      <c r="B40" s="3">
        <v>230</v>
      </c>
      <c r="C40" s="53">
        <v>0.17948400000000009</v>
      </c>
      <c r="D40" s="53">
        <v>0.13294967540797936</v>
      </c>
      <c r="E40" s="53">
        <v>0.13081181602888342</v>
      </c>
      <c r="F40" s="53">
        <v>0.20580162761975571</v>
      </c>
      <c r="G40" s="54">
        <v>1.0054180718910262</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4.9018238448480196E-2</v>
      </c>
      <c r="V40" s="53">
        <v>2.0771729298397056E-2</v>
      </c>
      <c r="W40" s="53">
        <v>0.22178443078565843</v>
      </c>
      <c r="X40" s="53">
        <v>8.305797928561881E-2</v>
      </c>
      <c r="Y40" s="53">
        <v>0.41765478553209229</v>
      </c>
      <c r="Z40" s="53">
        <v>0.41765478553209223</v>
      </c>
    </row>
    <row r="41" spans="1:26">
      <c r="A41" s="3" t="s">
        <v>238</v>
      </c>
      <c r="B41" s="3">
        <v>119</v>
      </c>
      <c r="C41" s="53">
        <v>0.12421877192982453</v>
      </c>
      <c r="D41" s="53">
        <v>3.9183419890367124E-2</v>
      </c>
      <c r="E41" s="53">
        <v>0.45741028306204884</v>
      </c>
      <c r="F41" s="53">
        <v>0.22529394737980976</v>
      </c>
      <c r="G41" s="54">
        <v>0.94030624894969284</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7.0548223798331212E-3</v>
      </c>
      <c r="V41" s="53">
        <v>1.9151402871181444E-2</v>
      </c>
      <c r="W41" s="53">
        <v>1.2178075170479361</v>
      </c>
      <c r="X41" s="53">
        <v>0.15620310034184115</v>
      </c>
      <c r="Y41" s="53">
        <v>0.29625921121923621</v>
      </c>
      <c r="Z41" s="53">
        <v>0.29625921121923615</v>
      </c>
    </row>
    <row r="42" spans="1:26">
      <c r="A42" s="3" t="s">
        <v>239</v>
      </c>
      <c r="B42" s="3">
        <v>128</v>
      </c>
      <c r="C42" s="53">
        <v>0.19666706896551731</v>
      </c>
      <c r="D42" s="53">
        <v>0.14008066391084326</v>
      </c>
      <c r="E42" s="53">
        <v>0.14281217248637942</v>
      </c>
      <c r="F42" s="53">
        <v>0.11691985958691149</v>
      </c>
      <c r="G42" s="54">
        <v>1.1875339477983193</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4.5108188895623375E-2</v>
      </c>
      <c r="V42" s="53">
        <v>2.6677271844225636E-2</v>
      </c>
      <c r="W42" s="53">
        <v>1.5052569708950143</v>
      </c>
      <c r="X42" s="53">
        <v>5.17765805634577E-2</v>
      </c>
      <c r="Y42" s="53">
        <v>0.19727330771004128</v>
      </c>
      <c r="Z42" s="53">
        <v>0.19727330771004126</v>
      </c>
    </row>
    <row r="43" spans="1:26">
      <c r="A43" s="3" t="s">
        <v>240</v>
      </c>
      <c r="B43" s="3">
        <v>32</v>
      </c>
      <c r="C43" s="53">
        <v>0.11040782608695648</v>
      </c>
      <c r="D43" s="53">
        <v>0.16243511385197026</v>
      </c>
      <c r="E43" s="53">
        <v>0.20906182388989658</v>
      </c>
      <c r="F43" s="53">
        <v>0.23441748751073238</v>
      </c>
      <c r="G43" s="54">
        <v>1.3535915929813263</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5.1362234787959054E-3</v>
      </c>
      <c r="V43" s="53">
        <v>3.6279568408271621E-3</v>
      </c>
      <c r="W43" s="53">
        <v>1.4950509635847589</v>
      </c>
      <c r="X43" s="53">
        <v>0.2288315257494398</v>
      </c>
      <c r="Y43" s="53">
        <v>6.4331005164984509E-2</v>
      </c>
      <c r="Z43" s="53">
        <v>6.4331005164984467E-2</v>
      </c>
    </row>
    <row r="44" spans="1:26">
      <c r="A44" s="3" t="s">
        <v>241</v>
      </c>
      <c r="B44" s="3">
        <v>32</v>
      </c>
      <c r="C44" s="53">
        <v>0.18106894736842105</v>
      </c>
      <c r="D44" s="53">
        <v>0.11569354150132667</v>
      </c>
      <c r="E44" s="53">
        <v>0.20156640226109454</v>
      </c>
      <c r="F44" s="53">
        <v>0.20295530643789431</v>
      </c>
      <c r="G44" s="54">
        <v>0.55999610695192847</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6.2482428184781058E-2</v>
      </c>
      <c r="V44" s="53">
        <v>2.2041129079390705E-2</v>
      </c>
      <c r="W44" s="53">
        <v>0.34919798188250589</v>
      </c>
      <c r="X44" s="53">
        <v>0.61965679511239247</v>
      </c>
      <c r="Y44" s="53">
        <v>0.12781126030710444</v>
      </c>
      <c r="Z44" s="53">
        <v>0.12781126030710444</v>
      </c>
    </row>
    <row r="45" spans="1:26">
      <c r="A45" s="3" t="s">
        <v>242</v>
      </c>
      <c r="B45" s="3">
        <v>68</v>
      </c>
      <c r="C45" s="53">
        <v>0.10244649999999998</v>
      </c>
      <c r="D45" s="53">
        <v>0.17139569325713905</v>
      </c>
      <c r="E45" s="53">
        <v>9.9886217562338883E-2</v>
      </c>
      <c r="F45" s="53">
        <v>0.19265003883365289</v>
      </c>
      <c r="G45" s="54">
        <v>1.0481897733536769</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6.7121787001380398E-2</v>
      </c>
      <c r="V45" s="53">
        <v>1.1171667233667715E-2</v>
      </c>
      <c r="W45" s="53">
        <v>0.21810072641597461</v>
      </c>
      <c r="X45" s="53">
        <v>0.35869098916068981</v>
      </c>
      <c r="Y45" s="53">
        <v>8.4312715869453519E-2</v>
      </c>
      <c r="Z45" s="53">
        <v>8.4312715869453547E-2</v>
      </c>
    </row>
    <row r="46" spans="1:26">
      <c r="A46" s="3" t="s">
        <v>243</v>
      </c>
      <c r="B46" s="3">
        <v>19</v>
      </c>
      <c r="C46" s="53">
        <v>1.2966000000000004E-2</v>
      </c>
      <c r="D46" s="53">
        <v>0.18741354888420905</v>
      </c>
      <c r="E46" s="53">
        <v>0.34643044644482202</v>
      </c>
      <c r="F46" s="53">
        <v>0.21275453790671961</v>
      </c>
      <c r="G46" s="54">
        <v>0.72017362703721888</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3.5230919372632036E-2</v>
      </c>
      <c r="V46" s="53">
        <v>1.1090429343845635E-2</v>
      </c>
      <c r="W46" s="53">
        <v>2.0432115095575496E-2</v>
      </c>
      <c r="X46" s="53">
        <v>0.3641117785082732</v>
      </c>
      <c r="Y46" s="53">
        <v>0.66555865382705948</v>
      </c>
      <c r="Z46" s="53">
        <v>0.66555865382705948</v>
      </c>
    </row>
    <row r="47" spans="1:26">
      <c r="A47" s="3" t="s">
        <v>244</v>
      </c>
      <c r="B47" s="3">
        <v>18</v>
      </c>
      <c r="C47" s="53">
        <v>4.7169999999999997E-2</v>
      </c>
      <c r="D47" s="53">
        <v>0.11632760029506121</v>
      </c>
      <c r="E47" s="53">
        <v>0.22740740434639165</v>
      </c>
      <c r="F47" s="53">
        <v>0.25775980471928395</v>
      </c>
      <c r="G47" s="54">
        <v>0.77238249143783833</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1.9033801691390826E-2</v>
      </c>
      <c r="V47" s="53">
        <v>-3.6251195768292693E-2</v>
      </c>
      <c r="W47" s="53">
        <v>-0.26314035240567679</v>
      </c>
      <c r="X47" s="53">
        <v>8.4289167807033175E-2</v>
      </c>
      <c r="Y47" s="53">
        <v>0.60703971407145041</v>
      </c>
      <c r="Z47" s="53">
        <v>0.60703971407145041</v>
      </c>
    </row>
    <row r="48" spans="1:26">
      <c r="A48" s="3" t="s">
        <v>245</v>
      </c>
      <c r="B48" s="3">
        <v>21</v>
      </c>
      <c r="C48" s="53">
        <v>7.7637272727272721E-2</v>
      </c>
      <c r="D48" s="53">
        <v>0.15227330392370475</v>
      </c>
      <c r="E48" s="53">
        <v>0.15653546538570912</v>
      </c>
      <c r="F48" s="53">
        <v>0.20671990280364713</v>
      </c>
      <c r="G48" s="54">
        <v>0.8946178159376359</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9.2788698704108791E-3</v>
      </c>
      <c r="V48" s="53">
        <v>-2.5998498392279908E-2</v>
      </c>
      <c r="W48" s="53">
        <v>0.3789687523388437</v>
      </c>
      <c r="X48" s="53">
        <v>0.13524697097521135</v>
      </c>
      <c r="Y48" s="53">
        <v>0.32753059692538994</v>
      </c>
      <c r="Z48" s="53">
        <v>0.32753059692538988</v>
      </c>
    </row>
    <row r="49" spans="1:26">
      <c r="A49" s="3" t="s">
        <v>246</v>
      </c>
      <c r="B49" s="3">
        <v>23</v>
      </c>
      <c r="C49" s="53">
        <v>-6.2500000000000121E-4</v>
      </c>
      <c r="D49" s="53">
        <v>6.5616738438321659E-4</v>
      </c>
      <c r="E49" s="53">
        <v>1.0816809572142688E-3</v>
      </c>
      <c r="F49" s="53">
        <v>0.17734932983816021</v>
      </c>
      <c r="G49" s="54">
        <v>0.53983111888386293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1.8122427617276609E-3</v>
      </c>
      <c r="V49" s="53">
        <v>-2.5614435950617652E-2</v>
      </c>
      <c r="W49" s="53" t="s">
        <v>584</v>
      </c>
      <c r="X49" s="53">
        <v>1.3240127450855269E-2</v>
      </c>
      <c r="Y49" s="53">
        <v>3.812072472103254</v>
      </c>
      <c r="Z49" s="53">
        <v>3.812072472103254</v>
      </c>
    </row>
    <row r="50" spans="1:26">
      <c r="A50" s="3" t="s">
        <v>247</v>
      </c>
      <c r="B50" s="3">
        <v>50</v>
      </c>
      <c r="C50" s="53">
        <v>6.1676590909090896E-2</v>
      </c>
      <c r="D50" s="53">
        <v>7.4121043407829504E-2</v>
      </c>
      <c r="E50" s="53">
        <v>0.11118635097908262</v>
      </c>
      <c r="F50" s="53">
        <v>0.18944213157737264</v>
      </c>
      <c r="G50" s="54">
        <v>0.67520761727476519</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7.7982820927461833E-3</v>
      </c>
      <c r="V50" s="53">
        <v>-1.3016926116446899E-3</v>
      </c>
      <c r="W50" s="53">
        <v>0.28662293809310668</v>
      </c>
      <c r="X50" s="53">
        <v>0.10356883343367865</v>
      </c>
      <c r="Y50" s="53">
        <v>0.35133432350759741</v>
      </c>
      <c r="Z50" s="53">
        <v>0.35133432350759741</v>
      </c>
    </row>
    <row r="51" spans="1:26">
      <c r="A51" s="3" t="s">
        <v>248</v>
      </c>
      <c r="B51" s="3">
        <v>334</v>
      </c>
      <c r="C51" s="53">
        <v>4.6036862745098023E-2</v>
      </c>
      <c r="D51" s="53">
        <v>0.14999164034895529</v>
      </c>
      <c r="E51" s="53">
        <v>6.1639717527291187E-2</v>
      </c>
      <c r="F51" s="53">
        <v>0.18978292304498715</v>
      </c>
      <c r="G51" s="54">
        <v>0.39129392968006665</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2.9725746882996038E-2</v>
      </c>
      <c r="V51" s="53">
        <v>6.1361471889236401E-2</v>
      </c>
      <c r="W51" s="53">
        <v>0.54669683230965871</v>
      </c>
      <c r="X51" s="53">
        <v>0.13783634813168708</v>
      </c>
      <c r="Y51" s="53">
        <v>0.42105650684678592</v>
      </c>
      <c r="Z51" s="53">
        <v>0.42105650684678597</v>
      </c>
    </row>
    <row r="52" spans="1:26">
      <c r="A52" s="3" t="s">
        <v>249</v>
      </c>
      <c r="B52" s="3">
        <v>103</v>
      </c>
      <c r="C52" s="53">
        <v>4.712599999999998E-2</v>
      </c>
      <c r="D52" s="53">
        <v>0.14779213072591901</v>
      </c>
      <c r="E52" s="53">
        <v>0.24909385325604075</v>
      </c>
      <c r="F52" s="53">
        <v>0.21716795174857764</v>
      </c>
      <c r="G52" s="54">
        <v>0.9376095544061418</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2.4425884717957834E-2</v>
      </c>
      <c r="V52" s="53">
        <v>6.4279580722076277E-2</v>
      </c>
      <c r="W52" s="53">
        <v>0.66768064881451694</v>
      </c>
      <c r="X52" s="53">
        <v>0.19022656097823037</v>
      </c>
      <c r="Y52" s="53">
        <v>0.3626998107382271</v>
      </c>
      <c r="Z52" s="53">
        <v>0.3626998107382271</v>
      </c>
    </row>
    <row r="53" spans="1:26">
      <c r="A53" s="3" t="s">
        <v>250</v>
      </c>
      <c r="B53" s="3">
        <v>68</v>
      </c>
      <c r="C53" s="53">
        <v>-1.3133333333333325E-2</v>
      </c>
      <c r="D53" s="53">
        <v>0.19621084093017843</v>
      </c>
      <c r="E53" s="53">
        <v>0.2402669710602103</v>
      </c>
      <c r="F53" s="53">
        <v>0.35286412829106101</v>
      </c>
      <c r="G53" s="54">
        <v>0.91212435483261867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0.13030144622632117</v>
      </c>
      <c r="V53" s="53">
        <v>5.9114049217197283E-2</v>
      </c>
      <c r="W53" s="53">
        <v>0.63149629307441901</v>
      </c>
      <c r="X53" s="53">
        <v>0.12165895420384185</v>
      </c>
      <c r="Y53" s="53">
        <v>0.95470595148672233</v>
      </c>
      <c r="Z53" s="53">
        <v>0.95470595148672233</v>
      </c>
    </row>
    <row r="54" spans="1:26">
      <c r="A54" s="3" t="s">
        <v>251</v>
      </c>
      <c r="B54" s="3">
        <v>17</v>
      </c>
      <c r="C54" s="53">
        <v>0.15850384615384616</v>
      </c>
      <c r="D54" s="53">
        <v>7.2923117575051641E-2</v>
      </c>
      <c r="E54" s="53">
        <v>0.12926389341779917</v>
      </c>
      <c r="F54" s="53">
        <v>0.44322557458970102</v>
      </c>
      <c r="G54" s="54">
        <v>0.87643280799530487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2.2936760875543978E-2</v>
      </c>
      <c r="V54" s="53">
        <v>1.9833530163557829E-2</v>
      </c>
      <c r="W54" s="53">
        <v>0.16580160140452149</v>
      </c>
      <c r="X54" s="53">
        <v>2.6638000470444002E-2</v>
      </c>
      <c r="Y54" s="53">
        <v>2.2516908050975011</v>
      </c>
      <c r="Z54" s="53">
        <v>2.2516908050975011</v>
      </c>
    </row>
    <row r="55" spans="1:26">
      <c r="A55" s="3" t="s">
        <v>252</v>
      </c>
      <c r="B55" s="3">
        <v>4</v>
      </c>
      <c r="C55" s="53">
        <v>1.7600000000000001E-2</v>
      </c>
      <c r="D55" s="53">
        <v>0.15595793751029599</v>
      </c>
      <c r="E55" s="53">
        <v>0.17039770081786265</v>
      </c>
      <c r="F55" s="53">
        <v>0.29512418516063021</v>
      </c>
      <c r="G55" s="54">
        <v>0.64404501383935209</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7.3867785953544554E-2</v>
      </c>
      <c r="V55" s="53">
        <v>-2.148426775026158E-4</v>
      </c>
      <c r="W55" s="53">
        <v>-1.671215236463339E-2</v>
      </c>
      <c r="X55" s="53">
        <v>0.19851813516763073</v>
      </c>
      <c r="Y55" s="53">
        <v>0.37142296537371583</v>
      </c>
      <c r="Z55" s="53">
        <v>0.37142296537371577</v>
      </c>
    </row>
    <row r="56" spans="1:26">
      <c r="A56" s="3" t="s">
        <v>253</v>
      </c>
      <c r="B56" s="3">
        <v>166</v>
      </c>
      <c r="C56" s="53">
        <v>0.2328005882352942</v>
      </c>
      <c r="D56" s="53">
        <v>0.37265839691067637</v>
      </c>
      <c r="E56" s="53">
        <v>0.28405709355869363</v>
      </c>
      <c r="F56" s="53">
        <v>0.20342463510697406</v>
      </c>
      <c r="G56" s="54">
        <v>0.82142049675943762</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0.30047596852821296</v>
      </c>
      <c r="V56" s="53">
        <v>0.16046402665504775</v>
      </c>
      <c r="W56" s="53">
        <v>0.50395048936072928</v>
      </c>
      <c r="X56" s="53">
        <v>0.31094799857184063</v>
      </c>
      <c r="Y56" s="53">
        <v>0.31272316107697362</v>
      </c>
      <c r="Z56" s="53">
        <v>0.31272316107697362</v>
      </c>
    </row>
    <row r="57" spans="1:26">
      <c r="A57" s="3" t="s">
        <v>254</v>
      </c>
      <c r="B57" s="3">
        <v>24</v>
      </c>
      <c r="C57" s="53">
        <v>0.27451533333333339</v>
      </c>
      <c r="D57" s="53">
        <v>0.37953024273539593</v>
      </c>
      <c r="E57" s="53">
        <v>0.20602082553480802</v>
      </c>
      <c r="F57" s="53">
        <v>0.18244447623517368</v>
      </c>
      <c r="G57" s="54">
        <v>0.52912157126984105</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0.16531343804567911</v>
      </c>
      <c r="V57" s="53">
        <v>0.13121071073961837</v>
      </c>
      <c r="W57" s="53">
        <v>0.40284567963839019</v>
      </c>
      <c r="X57" s="53">
        <v>0.42406084058617804</v>
      </c>
      <c r="Y57" s="53">
        <v>0.39844096378722926</v>
      </c>
      <c r="Z57" s="53">
        <v>0.39844096378722926</v>
      </c>
    </row>
    <row r="58" spans="1:26">
      <c r="A58" s="3" t="s">
        <v>255</v>
      </c>
      <c r="B58" s="3">
        <v>100</v>
      </c>
      <c r="C58" s="53">
        <v>7.7372121212121239E-2</v>
      </c>
      <c r="D58" s="53">
        <v>8.7209149027514102E-2</v>
      </c>
      <c r="E58" s="53">
        <v>0.28021406956927292</v>
      </c>
      <c r="F58" s="53">
        <v>0.2183798745548326</v>
      </c>
      <c r="G58" s="54">
        <v>0.85290173814940118</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2.3634819010543238E-2</v>
      </c>
      <c r="V58" s="53">
        <v>5.7629495091217316E-3</v>
      </c>
      <c r="W58" s="53">
        <v>0.15485672710250106</v>
      </c>
      <c r="X58" s="53">
        <v>0.29646913716435203</v>
      </c>
      <c r="Y58" s="53">
        <v>0.18808725311152891</v>
      </c>
      <c r="Z58" s="53">
        <v>0.18808725311152896</v>
      </c>
    </row>
    <row r="59" spans="1:26">
      <c r="A59" s="3" t="s">
        <v>256</v>
      </c>
      <c r="B59" s="3">
        <v>11</v>
      </c>
      <c r="C59" s="53">
        <v>4.6280999999999996E-2</v>
      </c>
      <c r="D59" s="53">
        <v>0.10136344113969289</v>
      </c>
      <c r="E59" s="53">
        <v>0.14468950470501363</v>
      </c>
      <c r="F59" s="53">
        <v>0.2143667790493376</v>
      </c>
      <c r="G59" s="54">
        <v>0.59401445549826037</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6.7633210085312132E-2</v>
      </c>
      <c r="V59" s="53">
        <v>3.8600392724298972E-2</v>
      </c>
      <c r="W59" s="53">
        <v>0.70321264532913874</v>
      </c>
      <c r="X59" s="53">
        <v>0.19622775667533635</v>
      </c>
      <c r="Y59" s="53">
        <v>0.25848828708559801</v>
      </c>
      <c r="Z59" s="53">
        <v>0.25848828708559801</v>
      </c>
    </row>
    <row r="60" spans="1:26">
      <c r="A60" s="3" t="s">
        <v>257</v>
      </c>
      <c r="B60" s="3">
        <v>7</v>
      </c>
      <c r="C60" s="53">
        <v>3.8425000000000001E-2</v>
      </c>
      <c r="D60" s="53">
        <v>9.9619899214932001E-2</v>
      </c>
      <c r="E60" s="53">
        <v>0.18901373691463047</v>
      </c>
      <c r="F60" s="53">
        <v>0.30911701363962674</v>
      </c>
      <c r="G60" s="54">
        <v>1.5902925666995296</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7.5908105941041221E-2</v>
      </c>
      <c r="V60" s="53">
        <v>5.0747159393665635E-2</v>
      </c>
      <c r="W60" s="53">
        <v>0.99702940057992662</v>
      </c>
      <c r="X60" s="53">
        <v>0.15165444471442061</v>
      </c>
      <c r="Y60" s="53">
        <v>0.27578599007170435</v>
      </c>
      <c r="Z60" s="53">
        <v>0.27578599007170435</v>
      </c>
    </row>
    <row r="61" spans="1:26">
      <c r="A61" s="3" t="s">
        <v>258</v>
      </c>
      <c r="B61" s="3">
        <v>50</v>
      </c>
      <c r="C61" s="53">
        <v>5.3279999999999987E-2</v>
      </c>
      <c r="D61" s="53">
        <v>0.16292988851641926</v>
      </c>
      <c r="E61" s="53">
        <v>5.7838808795451627E-2</v>
      </c>
      <c r="F61" s="53">
        <v>0.16140322753814085</v>
      </c>
      <c r="G61" s="54">
        <v>0.3885061927976376</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0.33954089511344704</v>
      </c>
      <c r="V61" s="53">
        <v>0.22702951827873996</v>
      </c>
      <c r="W61" s="53">
        <v>1.7342755771524554</v>
      </c>
      <c r="X61" s="53">
        <v>8.6033634105900814E-2</v>
      </c>
      <c r="Y61" s="53">
        <v>0.76674406940227546</v>
      </c>
      <c r="Z61" s="53">
        <v>0.76674406940227546</v>
      </c>
    </row>
    <row r="62" spans="1:26">
      <c r="A62" s="3" t="s">
        <v>259</v>
      </c>
      <c r="B62" s="3">
        <v>61</v>
      </c>
      <c r="C62" s="53">
        <v>0.116358</v>
      </c>
      <c r="D62" s="53">
        <v>9.4815347859160626E-2</v>
      </c>
      <c r="E62" s="53">
        <v>4.6929693296862557E-2</v>
      </c>
      <c r="F62" s="53">
        <v>0.22878493646304626</v>
      </c>
      <c r="G62" s="54">
        <v>0.83008391475465471</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0.25407970239525501</v>
      </c>
      <c r="V62" s="53">
        <v>9.5405975749894428E-2</v>
      </c>
      <c r="W62" s="53">
        <v>1.4626231735473461</v>
      </c>
      <c r="X62" s="53">
        <v>-2.3341970007055318E-2</v>
      </c>
      <c r="Y62" s="53">
        <v>8.8351216929083726E-3</v>
      </c>
      <c r="Z62" s="53">
        <v>8.8351216929083431E-3</v>
      </c>
    </row>
    <row r="63" spans="1:26">
      <c r="A63" s="3" t="s">
        <v>260</v>
      </c>
      <c r="B63" s="3">
        <v>13</v>
      </c>
      <c r="C63" s="53">
        <v>1.886888888888889E-2</v>
      </c>
      <c r="D63" s="53">
        <v>7.586053639846746E-2</v>
      </c>
      <c r="E63" s="53">
        <v>0.11743909189085758</v>
      </c>
      <c r="F63" s="53">
        <v>0.33496727251475661</v>
      </c>
      <c r="G63" s="54">
        <v>0.80705437488394349</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3.7843627075351223E-2</v>
      </c>
      <c r="V63" s="53">
        <v>-1.4497011494252865E-2</v>
      </c>
      <c r="W63" s="53">
        <v>-0.12400404330731554</v>
      </c>
      <c r="X63" s="53">
        <v>2.5384759683220643E-2</v>
      </c>
      <c r="Y63" s="53">
        <v>0.96086621256907867</v>
      </c>
      <c r="Z63" s="53">
        <v>0.96086621256907867</v>
      </c>
    </row>
    <row r="64" spans="1:26">
      <c r="A64" s="3" t="s">
        <v>261</v>
      </c>
      <c r="B64" s="3">
        <v>181</v>
      </c>
      <c r="C64" s="53">
        <v>7.9506184210526312E-2</v>
      </c>
      <c r="D64" s="53">
        <v>0.22306419369090053</v>
      </c>
      <c r="E64" s="53">
        <v>2.604602253380742E-2</v>
      </c>
      <c r="F64" s="53">
        <v>3.423555993824276E-2</v>
      </c>
      <c r="G64" s="54">
        <v>0.65364907272884065</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2.0877749230665748E-2</v>
      </c>
      <c r="V64" s="53">
        <v>-0.16888406313044227</v>
      </c>
      <c r="W64" s="53">
        <v>-0.82957560768677063</v>
      </c>
      <c r="X64" s="53">
        <v>4.1547193007393492E-2</v>
      </c>
      <c r="Y64" s="53">
        <v>2.320757535648835</v>
      </c>
      <c r="Z64" s="53">
        <v>2.320757535648835</v>
      </c>
    </row>
    <row r="65" spans="1:26">
      <c r="A65" s="3" t="s">
        <v>262</v>
      </c>
      <c r="B65" s="3">
        <v>17</v>
      </c>
      <c r="C65" s="53">
        <v>0.55561666666666665</v>
      </c>
      <c r="D65" s="53">
        <v>0.1260895802230371</v>
      </c>
      <c r="E65" s="53">
        <v>2.9287042485061747E-2</v>
      </c>
      <c r="F65" s="53">
        <v>0.24259357814440308</v>
      </c>
      <c r="G65" s="54">
        <v>0.4314363177605709</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2.5419140294122532E-2</v>
      </c>
      <c r="V65" s="53">
        <v>-5.9288075101082707E-2</v>
      </c>
      <c r="W65" s="53">
        <v>-0.97271208117751418</v>
      </c>
      <c r="X65" s="53">
        <v>-8.5380378934187581E-2</v>
      </c>
      <c r="Y65" s="53">
        <v>0</v>
      </c>
      <c r="Z65" s="53">
        <v>0</v>
      </c>
    </row>
    <row r="66" spans="1:26">
      <c r="A66" s="3" t="s">
        <v>263</v>
      </c>
      <c r="B66" s="3">
        <v>11</v>
      </c>
      <c r="C66" s="53">
        <v>9.080400000000001E-2</v>
      </c>
      <c r="D66" s="53">
        <v>0.16131826431281968</v>
      </c>
      <c r="E66" s="53">
        <v>5.3122203722769448E-2</v>
      </c>
      <c r="F66" s="53">
        <v>0.17400095021907827</v>
      </c>
      <c r="G66" s="54">
        <v>0.51252675181814633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2.8403728757630749E-2</v>
      </c>
      <c r="V66" s="53">
        <v>-5.1359511631743945E-2</v>
      </c>
      <c r="W66" s="53">
        <v>-0.59412378257803355</v>
      </c>
      <c r="X66" s="53">
        <v>9.1092056157810561E-2</v>
      </c>
      <c r="Y66" s="53">
        <v>0.24923181973369751</v>
      </c>
      <c r="Z66" s="53">
        <v>0.24923181973369757</v>
      </c>
    </row>
    <row r="67" spans="1:26">
      <c r="A67" s="3" t="s">
        <v>264</v>
      </c>
      <c r="B67" s="3">
        <v>60</v>
      </c>
      <c r="C67" s="53">
        <v>5.4392666666666666E-2</v>
      </c>
      <c r="D67" s="53">
        <v>-2.8357035717595817E-3</v>
      </c>
      <c r="E67" s="53">
        <v>6.7119159647465029E-4</v>
      </c>
      <c r="F67" s="53">
        <v>0.18035278243626368</v>
      </c>
      <c r="G67" s="54">
        <v>0.88284638532075765</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1.3030956034781528E-2</v>
      </c>
      <c r="V67" s="53">
        <v>-1.1660648443319731E-2</v>
      </c>
      <c r="W67" s="53" t="s">
        <v>584</v>
      </c>
      <c r="X67" s="53">
        <v>-8.2699453594316241E-2</v>
      </c>
      <c r="Y67" s="53">
        <v>7.6188461338059024E-3</v>
      </c>
      <c r="Z67" s="53">
        <v>7.6188461338059232E-3</v>
      </c>
    </row>
    <row r="68" spans="1:26">
      <c r="A68" s="3" t="s">
        <v>265</v>
      </c>
      <c r="B68" s="3">
        <v>55</v>
      </c>
      <c r="C68" s="53">
        <v>0.10951862068965518</v>
      </c>
      <c r="D68" s="53">
        <v>9.6590436589090084E-2</v>
      </c>
      <c r="E68" s="53">
        <v>9.5367541711306333E-2</v>
      </c>
      <c r="F68" s="53">
        <v>0.27908973850786251</v>
      </c>
      <c r="G68" s="54">
        <v>0.84887800605574826</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7.1115609943383618E-2</v>
      </c>
      <c r="V68" s="53">
        <v>3.2100923079553575E-2</v>
      </c>
      <c r="W68" s="53">
        <v>0.56158342782299575</v>
      </c>
      <c r="X68" s="53">
        <v>2.5626629604530146E-2</v>
      </c>
      <c r="Y68" s="53">
        <v>1.9958513365724233</v>
      </c>
      <c r="Z68" s="53">
        <v>1.9958513365724233</v>
      </c>
    </row>
    <row r="69" spans="1:26">
      <c r="A69" s="3" t="s">
        <v>266</v>
      </c>
      <c r="B69" s="3">
        <v>1</v>
      </c>
      <c r="C69" s="53">
        <v>6.9500000000000006E-2</v>
      </c>
      <c r="D69" s="53">
        <v>9.6556719411633601E-2</v>
      </c>
      <c r="E69" s="53">
        <v>0.30116910073399067</v>
      </c>
      <c r="F69" s="53">
        <v>0.22953020134228189</v>
      </c>
      <c r="G69" s="54">
        <v>0.60985091839783168</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1.4486293737463784E-3</v>
      </c>
      <c r="V69" s="53">
        <v>4.3263873412079337E-2</v>
      </c>
      <c r="W69" s="53">
        <v>0.75607995316740739</v>
      </c>
      <c r="X69" s="53">
        <v>0.31234601697235148</v>
      </c>
      <c r="Y69" s="53">
        <v>0.18930762489044697</v>
      </c>
      <c r="Z69" s="53">
        <v>0.18930762489044695</v>
      </c>
    </row>
    <row r="70" spans="1:26">
      <c r="A70" s="3" t="s">
        <v>267</v>
      </c>
      <c r="B70" s="3">
        <v>64</v>
      </c>
      <c r="C70" s="53">
        <v>6.7960000000000007E-2</v>
      </c>
      <c r="D70" s="53">
        <v>0.15800225916236191</v>
      </c>
      <c r="E70" s="53">
        <v>0.19557552942837814</v>
      </c>
      <c r="F70" s="53">
        <v>0.19967846424718289</v>
      </c>
      <c r="G70" s="54">
        <v>1.0243276951296387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5.7944026102845256E-2</v>
      </c>
      <c r="V70" s="53">
        <v>3.5722685370995058E-2</v>
      </c>
      <c r="W70" s="53">
        <v>0.34511083241843721</v>
      </c>
      <c r="X70" s="53" t="s">
        <v>584</v>
      </c>
      <c r="Y70" s="53">
        <v>0.53075598955740277</v>
      </c>
      <c r="Z70" s="53">
        <v>0.53075598955740277</v>
      </c>
    </row>
    <row r="71" spans="1:26">
      <c r="A71" s="3" t="s">
        <v>268</v>
      </c>
      <c r="B71" s="3">
        <v>30</v>
      </c>
      <c r="C71" s="53">
        <v>0.17498636363636366</v>
      </c>
      <c r="D71" s="53">
        <v>6.1756206429810209E-2</v>
      </c>
      <c r="E71" s="53">
        <v>0.13195481158300898</v>
      </c>
      <c r="F71" s="53">
        <v>0.23751485780163534</v>
      </c>
      <c r="G71" s="54">
        <v>1.0587643053346871</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1.9066371040589995E-2</v>
      </c>
      <c r="V71" s="53">
        <v>2.1762603098834987E-2</v>
      </c>
      <c r="W71" s="53">
        <v>0.71346116785558666</v>
      </c>
      <c r="X71" s="53">
        <v>0.47328545526154348</v>
      </c>
      <c r="Y71" s="53">
        <v>5.7941597498037609E-2</v>
      </c>
      <c r="Z71" s="53">
        <v>5.7941597498037622E-2</v>
      </c>
    </row>
    <row r="72" spans="1:26">
      <c r="A72" s="3" t="s">
        <v>269</v>
      </c>
      <c r="B72" s="3">
        <v>16</v>
      </c>
      <c r="C72" s="53">
        <v>8.9053846153846164E-2</v>
      </c>
      <c r="D72" s="53">
        <v>0.12513815577176424</v>
      </c>
      <c r="E72" s="53">
        <v>0.39426101011063314</v>
      </c>
      <c r="F72" s="53">
        <v>0.24040748843756385</v>
      </c>
      <c r="G72" s="54">
        <v>1.704153179546406</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2.4278467792407967E-2</v>
      </c>
      <c r="V72" s="53">
        <v>8.4849635897816383E-3</v>
      </c>
      <c r="W72" s="53">
        <v>2.3337337560001278E-2</v>
      </c>
      <c r="X72" s="53" t="s">
        <v>584</v>
      </c>
      <c r="Y72" s="53">
        <v>0.46644741818218693</v>
      </c>
      <c r="Z72" s="53">
        <v>0.46644741818218693</v>
      </c>
    </row>
    <row r="73" spans="1:26">
      <c r="A73" s="3" t="s">
        <v>270</v>
      </c>
      <c r="B73" s="3">
        <v>62</v>
      </c>
      <c r="C73" s="53">
        <v>5.8054594594594583E-2</v>
      </c>
      <c r="D73" s="53">
        <v>0.11953213688630857</v>
      </c>
      <c r="E73" s="53">
        <v>0.18608587925495401</v>
      </c>
      <c r="F73" s="53">
        <v>0.23449866940082945</v>
      </c>
      <c r="G73" s="54">
        <v>0.90932555384051728</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6.25565357934217E-2</v>
      </c>
      <c r="V73" s="53">
        <v>9.2151064103531105E-2</v>
      </c>
      <c r="W73" s="53">
        <v>1.0375036244575058</v>
      </c>
      <c r="X73" s="53">
        <v>0.25451622985825711</v>
      </c>
      <c r="Y73" s="53">
        <v>0.25220531066727753</v>
      </c>
      <c r="Z73" s="53">
        <v>0.25220531066727747</v>
      </c>
    </row>
    <row r="74" spans="1:26">
      <c r="A74" s="3" t="s">
        <v>271</v>
      </c>
      <c r="B74" s="3">
        <v>26</v>
      </c>
      <c r="C74" s="53">
        <v>0.18063052631578944</v>
      </c>
      <c r="D74" s="53">
        <v>4.4133968058007046E-2</v>
      </c>
      <c r="E74" s="53">
        <v>9.8929938052508604E-2</v>
      </c>
      <c r="F74" s="53">
        <v>0.21721237165566823</v>
      </c>
      <c r="G74" s="54">
        <v>1.1710629087177289</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5.2009664806773569E-2</v>
      </c>
      <c r="V74" s="53">
        <v>2.2820227937652104E-2</v>
      </c>
      <c r="W74" s="53">
        <v>0.79447833647214905</v>
      </c>
      <c r="X74" s="53">
        <v>0.1955014547502191</v>
      </c>
      <c r="Y74" s="53">
        <v>0.21744723060022958</v>
      </c>
      <c r="Z74" s="53">
        <v>0.21744723060022952</v>
      </c>
    </row>
    <row r="75" spans="1:26">
      <c r="A75" s="3" t="s">
        <v>272</v>
      </c>
      <c r="B75" s="3">
        <v>14</v>
      </c>
      <c r="C75" s="53">
        <v>6.5912499999999999E-2</v>
      </c>
      <c r="D75" s="53">
        <v>2.4225596853965255E-2</v>
      </c>
      <c r="E75" s="53">
        <v>0.10989245466725754</v>
      </c>
      <c r="F75" s="53">
        <v>0.22911929074099627</v>
      </c>
      <c r="G75" s="54">
        <v>0.36476114906597701</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2.6633515324994268E-2</v>
      </c>
      <c r="V75" s="53">
        <v>1.326060238245387E-2</v>
      </c>
      <c r="W75" s="53">
        <v>1.1428223096616057</v>
      </c>
      <c r="X75" s="53">
        <v>0.14777603490447422</v>
      </c>
      <c r="Y75" s="53">
        <v>0.36924015550657879</v>
      </c>
      <c r="Z75" s="53">
        <v>0.36924015550657874</v>
      </c>
    </row>
    <row r="76" spans="1:26">
      <c r="A76" s="3" t="s">
        <v>273</v>
      </c>
      <c r="B76" s="3">
        <v>28</v>
      </c>
      <c r="C76" s="53">
        <v>4.1101851851851841E-2</v>
      </c>
      <c r="D76" s="53">
        <v>0.36745097043843167</v>
      </c>
      <c r="E76" s="53">
        <v>4.458562834006221E-2</v>
      </c>
      <c r="F76" s="53">
        <v>4.2019303588884428E-2</v>
      </c>
      <c r="G76" s="54">
        <v>0.78667470190348754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5.1678638509569011E-2</v>
      </c>
      <c r="V76" s="53">
        <v>-0.26525961554732042</v>
      </c>
      <c r="W76" s="53">
        <v>-0.81803643279498717</v>
      </c>
      <c r="X76" s="53">
        <v>6.523063162826355E-2</v>
      </c>
      <c r="Y76" s="53">
        <v>1.5557235045106812</v>
      </c>
      <c r="Z76" s="53">
        <v>1.5557235045106812</v>
      </c>
    </row>
    <row r="77" spans="1:26">
      <c r="A77" s="3" t="s">
        <v>274</v>
      </c>
      <c r="B77" s="3">
        <v>105</v>
      </c>
      <c r="C77" s="53">
        <v>0.12071967741935487</v>
      </c>
      <c r="D77" s="53">
        <v>4.6172630818204483E-2</v>
      </c>
      <c r="E77" s="53">
        <v>0.13499345989584943</v>
      </c>
      <c r="F77" s="53">
        <v>0.24714983147031147</v>
      </c>
      <c r="G77" s="54">
        <v>0.97306921831208426</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2.5889269223510269E-2</v>
      </c>
      <c r="V77" s="53">
        <v>2.6622349307585433E-2</v>
      </c>
      <c r="W77" s="53">
        <v>0.55230156249920015</v>
      </c>
      <c r="X77" s="53">
        <v>9.6438784183108986E-2</v>
      </c>
      <c r="Y77" s="53">
        <v>0.8704265485497078</v>
      </c>
      <c r="Z77" s="53">
        <v>0.8704265485497078</v>
      </c>
    </row>
    <row r="78" spans="1:26">
      <c r="A78" s="3" t="s">
        <v>275</v>
      </c>
      <c r="B78" s="3">
        <v>3</v>
      </c>
      <c r="C78" s="53">
        <v>9.0200000000000002E-2</v>
      </c>
      <c r="D78" s="53">
        <v>1.8445123448906007E-2</v>
      </c>
      <c r="E78" s="53">
        <v>3.124092719979871E-2</v>
      </c>
      <c r="F78" s="53">
        <v>0</v>
      </c>
      <c r="G78" s="54">
        <v>0.26316933125019143</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5.4186799367281373E-2</v>
      </c>
      <c r="V78" s="53">
        <v>7.0628985193991103E-3</v>
      </c>
      <c r="W78" s="53">
        <v>-0.32002680606024081</v>
      </c>
      <c r="X78" s="53">
        <v>-9.9980552314274607E-2</v>
      </c>
      <c r="Y78" s="53">
        <v>0</v>
      </c>
      <c r="Z78" s="53">
        <v>0</v>
      </c>
    </row>
    <row r="79" spans="1:26">
      <c r="A79" s="3" t="s">
        <v>276</v>
      </c>
      <c r="B79" s="3">
        <v>63</v>
      </c>
      <c r="C79" s="53">
        <v>6.4411627906976743E-2</v>
      </c>
      <c r="D79" s="53">
        <v>0.19711975635060902</v>
      </c>
      <c r="E79" s="53">
        <v>0.11368358391768708</v>
      </c>
      <c r="F79" s="53">
        <v>9.3092670508339401E-2</v>
      </c>
      <c r="G79" s="54">
        <v>1.460244593924559</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0.1700086447636025</v>
      </c>
      <c r="V79" s="53">
        <v>6.8986975778472778E-2</v>
      </c>
      <c r="W79" s="53">
        <v>0.49863224477303802</v>
      </c>
      <c r="X79" s="53">
        <v>0.12611876313091647</v>
      </c>
      <c r="Y79" s="53">
        <v>0.48873979408723345</v>
      </c>
      <c r="Z79" s="53">
        <v>0.48873979408723345</v>
      </c>
    </row>
    <row r="80" spans="1:26">
      <c r="A80" s="3" t="s">
        <v>277</v>
      </c>
      <c r="B80" s="3">
        <v>30</v>
      </c>
      <c r="C80" s="53">
        <v>9.9257499999999985E-2</v>
      </c>
      <c r="D80" s="53">
        <v>0.24186751386172409</v>
      </c>
      <c r="E80" s="53">
        <v>0.25683632466511935</v>
      </c>
      <c r="F80" s="53">
        <v>0.12268560712932465</v>
      </c>
      <c r="G80" s="54">
        <v>1.5077650793777069</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5.0796555474868554E-2</v>
      </c>
      <c r="V80" s="53">
        <v>2.6035463292282256E-2</v>
      </c>
      <c r="W80" s="53">
        <v>0.13881169088914808</v>
      </c>
      <c r="X80" s="53">
        <v>0.3289066823779071</v>
      </c>
      <c r="Y80" s="53">
        <v>0.20089988720666727</v>
      </c>
      <c r="Z80" s="53">
        <v>0.20089988720666729</v>
      </c>
    </row>
    <row r="81" spans="1:26">
      <c r="A81" s="3" t="s">
        <v>278</v>
      </c>
      <c r="B81" s="3">
        <v>8</v>
      </c>
      <c r="C81" s="53">
        <v>-6.8033333333333348E-3</v>
      </c>
      <c r="D81" s="53">
        <v>0.10650740465993001</v>
      </c>
      <c r="E81" s="53">
        <v>9.2351394997663441E-2</v>
      </c>
      <c r="F81" s="53">
        <v>0.18850960892353175</v>
      </c>
      <c r="G81" s="54">
        <v>0.68659497205240805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0.10241614888029281</v>
      </c>
      <c r="V81" s="53">
        <v>4.0299197608605203E-2</v>
      </c>
      <c r="W81" s="53">
        <v>0.50270712026329756</v>
      </c>
      <c r="X81" s="53">
        <v>7.817317702121597E-2</v>
      </c>
      <c r="Y81" s="53">
        <v>0.29337528524998274</v>
      </c>
      <c r="Z81" s="53">
        <v>0.29337528524998269</v>
      </c>
    </row>
    <row r="82" spans="1:26">
      <c r="A82" s="3" t="s">
        <v>279</v>
      </c>
      <c r="B82" s="3">
        <v>13</v>
      </c>
      <c r="C82" s="53">
        <v>0.11491250000000001</v>
      </c>
      <c r="D82" s="53">
        <v>0.12199139215361694</v>
      </c>
      <c r="E82" s="53">
        <v>0.24043080830071734</v>
      </c>
      <c r="F82" s="53">
        <v>0.1746054567339842</v>
      </c>
      <c r="G82" s="54">
        <v>1.2730955389810585</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8.5762704850190375E-3</v>
      </c>
      <c r="V82" s="53">
        <v>-5.2012497930805967E-3</v>
      </c>
      <c r="W82" s="53">
        <v>-0.20182594713277416</v>
      </c>
      <c r="X82" s="53">
        <v>0.29903214866474775</v>
      </c>
      <c r="Y82" s="53">
        <v>0.32261310697398488</v>
      </c>
      <c r="Z82" s="53">
        <v>0.32261310697398482</v>
      </c>
    </row>
    <row r="83" spans="1:26">
      <c r="A83" s="3" t="s">
        <v>280</v>
      </c>
      <c r="B83" s="3">
        <v>84</v>
      </c>
      <c r="C83" s="53">
        <v>0.17412533333333333</v>
      </c>
      <c r="D83" s="53">
        <v>0.2680484859792075</v>
      </c>
      <c r="E83" s="53">
        <v>0.19944873406255512</v>
      </c>
      <c r="F83" s="53">
        <v>0.16568125122952723</v>
      </c>
      <c r="G83" s="54">
        <v>1.1136804709373258</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0.12672459193901217</v>
      </c>
      <c r="V83" s="53">
        <v>8.7039144070400018E-2</v>
      </c>
      <c r="W83" s="53">
        <v>0.46794430766934031</v>
      </c>
      <c r="X83" s="53">
        <v>0.2325593855621183</v>
      </c>
      <c r="Y83" s="53">
        <v>2.5063968697220758E-3</v>
      </c>
      <c r="Z83" s="53">
        <v>2.506396869722094E-3</v>
      </c>
    </row>
    <row r="84" spans="1:26">
      <c r="A84" s="3" t="s">
        <v>281</v>
      </c>
      <c r="B84" s="3">
        <v>35</v>
      </c>
      <c r="C84" s="53">
        <v>0.22244545454545456</v>
      </c>
      <c r="D84" s="53">
        <v>-3.3594816570468533E-2</v>
      </c>
      <c r="E84" s="53">
        <v>-4.8109532624457758E-3</v>
      </c>
      <c r="F84" s="53">
        <v>0.17878408264897386</v>
      </c>
      <c r="G84" s="54">
        <v>1.5117563379021286</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5.5778077921357368E-2</v>
      </c>
      <c r="V84" s="53">
        <v>2.8310083379424048E-2</v>
      </c>
      <c r="W84" s="53" t="s">
        <v>584</v>
      </c>
      <c r="X84" s="53">
        <v>-0.14540651129197349</v>
      </c>
      <c r="Y84" s="53">
        <v>0</v>
      </c>
      <c r="Z84" s="53">
        <v>0</v>
      </c>
    </row>
    <row r="85" spans="1:26">
      <c r="A85" s="3" t="s">
        <v>282</v>
      </c>
      <c r="B85" s="3">
        <v>351</v>
      </c>
      <c r="C85" s="53">
        <v>0.15903337837837828</v>
      </c>
      <c r="D85" s="53">
        <v>0.25298655593299035</v>
      </c>
      <c r="E85" s="53">
        <v>0.23224389866710615</v>
      </c>
      <c r="F85" s="53">
        <v>0.17853261761729111</v>
      </c>
      <c r="G85" s="54">
        <v>1.2724589938133573</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8.6746410149798295E-2</v>
      </c>
      <c r="V85" s="53">
        <v>5.9162106791780016E-2</v>
      </c>
      <c r="W85" s="53">
        <v>0.36380231425923271</v>
      </c>
      <c r="X85" s="53">
        <v>0.24441835382299518</v>
      </c>
      <c r="Y85" s="53">
        <v>0.27220590606666156</v>
      </c>
      <c r="Z85" s="53">
        <v>0.27220590606666151</v>
      </c>
    </row>
    <row r="86" spans="1:26">
      <c r="A86" s="3" t="s">
        <v>283</v>
      </c>
      <c r="B86" s="3">
        <v>29</v>
      </c>
      <c r="C86" s="53">
        <v>7.8733200000000003E-2</v>
      </c>
      <c r="D86" s="53">
        <v>0.12104448776971048</v>
      </c>
      <c r="E86" s="53">
        <v>0.22180836333570431</v>
      </c>
      <c r="F86" s="53">
        <v>0.19962963225553462</v>
      </c>
      <c r="G86" s="54">
        <v>1.0774711199709137</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6.2015491060735908E-2</v>
      </c>
      <c r="V86" s="53">
        <v>4.2105106814159125E-2</v>
      </c>
      <c r="W86" s="53">
        <v>0.15698783414294129</v>
      </c>
      <c r="X86" s="53">
        <v>0.22194709191501236</v>
      </c>
      <c r="Y86" s="53">
        <v>0.12471207785733139</v>
      </c>
      <c r="Z86" s="53">
        <v>0.1247120778573314</v>
      </c>
    </row>
    <row r="87" spans="1:26">
      <c r="A87" s="3" t="s">
        <v>284</v>
      </c>
      <c r="B87" s="3">
        <v>13</v>
      </c>
      <c r="C87" s="53">
        <v>9.2977142857142869E-2</v>
      </c>
      <c r="D87" s="53">
        <v>0.16792801039724245</v>
      </c>
      <c r="E87" s="53">
        <v>6.5483784250289209E-2</v>
      </c>
      <c r="F87" s="53">
        <v>0.24652434855276151</v>
      </c>
      <c r="G87" s="54">
        <v>0.74731171905548888</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0.15310947618240378</v>
      </c>
      <c r="V87" s="53">
        <v>-2.9960671300220164E-3</v>
      </c>
      <c r="W87" s="53">
        <v>0.5510450483030811</v>
      </c>
      <c r="X87" s="53">
        <v>9.7395977513905455E-2</v>
      </c>
      <c r="Y87" s="53">
        <v>0.1104528008925427</v>
      </c>
      <c r="Z87" s="53">
        <v>0.11045280089254272</v>
      </c>
    </row>
    <row r="88" spans="1:26">
      <c r="A88" s="3" t="s">
        <v>285</v>
      </c>
      <c r="B88" s="3">
        <v>66</v>
      </c>
      <c r="C88" s="53">
        <v>9.6164489795918393E-2</v>
      </c>
      <c r="D88" s="53">
        <v>0.19578373512751376</v>
      </c>
      <c r="E88" s="53">
        <v>0.28182161892742891</v>
      </c>
      <c r="F88" s="53">
        <v>0.16906478200018579</v>
      </c>
      <c r="G88" s="54">
        <v>1.0456479852653771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2.7789568604778662E-2</v>
      </c>
      <c r="V88" s="53">
        <v>3.9799623411255383E-2</v>
      </c>
      <c r="W88" s="53">
        <v>0.36669384113949066</v>
      </c>
      <c r="X88" s="53">
        <v>0.24550541459231559</v>
      </c>
      <c r="Y88" s="53">
        <v>0.46084832909856577</v>
      </c>
      <c r="Z88" s="53">
        <v>0.46084832909856577</v>
      </c>
    </row>
    <row r="89" spans="1:26">
      <c r="A89" s="3" t="s">
        <v>286</v>
      </c>
      <c r="B89" s="3">
        <v>42</v>
      </c>
      <c r="C89" s="53">
        <v>0.13169956521739129</v>
      </c>
      <c r="D89" s="53">
        <v>0.20861578998360361</v>
      </c>
      <c r="E89" s="53">
        <v>0.11796482606061286</v>
      </c>
      <c r="F89" s="53">
        <v>0.21774220884735582</v>
      </c>
      <c r="G89" s="54">
        <v>0.4141115560097563</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0.16715169820304818</v>
      </c>
      <c r="V89" s="53">
        <v>2.4292121675182632E-2</v>
      </c>
      <c r="W89" s="53">
        <v>0.20122305244722491</v>
      </c>
      <c r="X89" s="53">
        <v>-3.4470942023052953E-3</v>
      </c>
      <c r="Y89" s="53">
        <v>1.6337690728598522E-3</v>
      </c>
      <c r="Z89" s="53">
        <v>1.6337690728598364E-3</v>
      </c>
    </row>
    <row r="90" spans="1:26">
      <c r="A90" s="3" t="s">
        <v>287</v>
      </c>
      <c r="B90" s="3">
        <v>16</v>
      </c>
      <c r="C90" s="53">
        <v>0.34968888888888894</v>
      </c>
      <c r="D90" s="53">
        <v>0.40818350646510609</v>
      </c>
      <c r="E90" s="53">
        <v>0.80360559936791442</v>
      </c>
      <c r="F90" s="53">
        <v>0.21139682210925856</v>
      </c>
      <c r="G90" s="54">
        <v>0.98708022501489956</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2.7084958732519204E-2</v>
      </c>
      <c r="V90" s="53">
        <v>0.33428394436606595</v>
      </c>
      <c r="W90" s="53">
        <v>1.17639869037906</v>
      </c>
      <c r="X90" s="53" t="s">
        <v>584</v>
      </c>
      <c r="Y90" s="53">
        <v>0.87984059610405407</v>
      </c>
      <c r="Z90" s="53">
        <v>0.87984059610405407</v>
      </c>
    </row>
    <row r="91" spans="1:26">
      <c r="A91" s="3" t="s">
        <v>288</v>
      </c>
      <c r="B91" s="3">
        <v>110</v>
      </c>
      <c r="C91" s="53">
        <v>7.3925853658536572E-2</v>
      </c>
      <c r="D91" s="53">
        <v>8.5076188418627172E-2</v>
      </c>
      <c r="E91" s="53">
        <v>0.16088390207704553</v>
      </c>
      <c r="F91" s="53">
        <v>0.22120376468677894</v>
      </c>
      <c r="G91" s="54">
        <v>0.84463870252318918</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7.9332477764687812E-2</v>
      </c>
      <c r="V91" s="53">
        <v>4.7919479861607203E-2</v>
      </c>
      <c r="W91" s="53">
        <v>0.72064765595835767</v>
      </c>
      <c r="X91" s="53">
        <v>0.22056294610433705</v>
      </c>
      <c r="Y91" s="53">
        <v>1.0930209138910143</v>
      </c>
      <c r="Z91" s="53">
        <v>1.0930209138910143</v>
      </c>
    </row>
    <row r="92" spans="1:26">
      <c r="A92" s="3" t="s">
        <v>289</v>
      </c>
      <c r="B92" s="3">
        <v>4</v>
      </c>
      <c r="C92" s="53">
        <v>2.4899999999999999E-2</v>
      </c>
      <c r="D92" s="53">
        <v>0.35113467269131693</v>
      </c>
      <c r="E92" s="53">
        <v>0.14261953361631199</v>
      </c>
      <c r="F92" s="53">
        <v>0.22982533024478807</v>
      </c>
      <c r="G92" s="54">
        <v>0.85599780593154451</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0.1570320179340837</v>
      </c>
      <c r="V92" s="53">
        <v>5.5988647445286678E-2</v>
      </c>
      <c r="W92" s="53">
        <v>0.22178443078565843</v>
      </c>
      <c r="X92" s="53">
        <v>0.31677945078582531</v>
      </c>
      <c r="Y92" s="53">
        <v>0.43519528152260112</v>
      </c>
      <c r="Z92" s="53">
        <v>0.43519528152260112</v>
      </c>
    </row>
    <row r="93" spans="1:26">
      <c r="A93" s="3" t="s">
        <v>290</v>
      </c>
      <c r="B93" s="3">
        <v>22</v>
      </c>
      <c r="C93" s="53">
        <v>6.1907222222222238E-2</v>
      </c>
      <c r="D93" s="53">
        <v>8.4934052293898013E-2</v>
      </c>
      <c r="E93" s="53">
        <v>0.12748742307030905</v>
      </c>
      <c r="F93" s="53">
        <v>0.25564934061767058</v>
      </c>
      <c r="G93" s="54">
        <v>1.0291549427451241</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0.14934250443095923</v>
      </c>
      <c r="V93" s="53">
        <v>9.0980370277753131E-2</v>
      </c>
      <c r="W93" s="53">
        <v>1.2178075170479361</v>
      </c>
      <c r="X93" s="53">
        <v>0.12974692001389668</v>
      </c>
      <c r="Y93" s="53">
        <v>0.17362718846549949</v>
      </c>
      <c r="Z93" s="53">
        <v>0.17362718846549952</v>
      </c>
    </row>
    <row r="94" spans="1:26">
      <c r="A94" s="3" t="s">
        <v>291</v>
      </c>
      <c r="B94" s="3">
        <v>14</v>
      </c>
      <c r="C94" s="53">
        <v>4.3404999999999999E-2</v>
      </c>
      <c r="D94" s="53">
        <v>0.2180508078273298</v>
      </c>
      <c r="E94" s="53">
        <v>6.4731399544339846E-2</v>
      </c>
      <c r="F94" s="53">
        <v>0.1601620397950673</v>
      </c>
      <c r="G94" s="54">
        <v>0.35679519291097572</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0.38606604885824003</v>
      </c>
      <c r="V94" s="53">
        <v>0.25906870978152774</v>
      </c>
      <c r="W94" s="53">
        <v>1.5052569708950143</v>
      </c>
      <c r="X94" s="53">
        <v>0.11153676746474966</v>
      </c>
      <c r="Y94" s="53">
        <v>0.58882821831655419</v>
      </c>
      <c r="Z94" s="53">
        <v>0.58882821831655419</v>
      </c>
    </row>
    <row r="95" spans="1:26">
      <c r="A95" s="3" t="s">
        <v>292</v>
      </c>
      <c r="B95" s="3">
        <v>13</v>
      </c>
      <c r="C95" s="53">
        <v>0.1084909090909091</v>
      </c>
      <c r="D95" s="53">
        <v>0.30791615796208249</v>
      </c>
      <c r="E95" s="53">
        <v>8.4062309144149125E-2</v>
      </c>
      <c r="F95" s="53">
        <v>0.1491899144854105</v>
      </c>
      <c r="G95" s="54">
        <v>0.52231147198629224</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0.53908430918105532</v>
      </c>
      <c r="V95" s="53">
        <v>0.40175099691053662</v>
      </c>
      <c r="W95" s="53">
        <v>1.4950509635847589</v>
      </c>
      <c r="X95" s="53">
        <v>0.15979158800682633</v>
      </c>
      <c r="Y95" s="53">
        <v>0.39244972646773968</v>
      </c>
      <c r="Z95" s="53">
        <v>0.39244972646773968</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topLeftCell="P1" workbookViewId="0">
      <selection activeCell="V10" sqref="V10"/>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7.8932890152171781E-2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1.7243189100700846E-2</v>
      </c>
      <c r="V2" s="53">
        <v>1.7319182249018784E-3</v>
      </c>
      <c r="W2" s="103">
        <v>0.25114078027496484</v>
      </c>
      <c r="X2" s="53">
        <v>7.5356549690505092E-2</v>
      </c>
      <c r="Y2" s="53">
        <v>0.76013580051126117</v>
      </c>
      <c r="Z2" s="103">
        <v>0.34229999999999999</v>
      </c>
    </row>
    <row r="3" spans="1:26">
      <c r="A3" s="3" t="s">
        <v>200</v>
      </c>
      <c r="B3" s="3">
        <v>289</v>
      </c>
      <c r="C3" s="53">
        <v>9.3095680473372799E-2</v>
      </c>
      <c r="D3" s="103">
        <v>7.9923617622355614E-2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3.5404721692020857E-2</v>
      </c>
      <c r="V3" s="53">
        <v>2.1536227284770421E-2</v>
      </c>
      <c r="W3" s="103">
        <v>0.40167246380722366</v>
      </c>
      <c r="X3" s="53">
        <v>0.14143383047792696</v>
      </c>
      <c r="Y3" s="53">
        <v>0.44958156371112074</v>
      </c>
      <c r="Z3" s="103">
        <v>0.76280000000000003</v>
      </c>
    </row>
    <row r="4" spans="1:26">
      <c r="A4" s="3" t="s">
        <v>201</v>
      </c>
      <c r="B4" s="3">
        <v>155</v>
      </c>
      <c r="C4" s="53">
        <v>2.4834959999999993E-2</v>
      </c>
      <c r="D4" s="103">
        <v>7.2832786186452753E-2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9.8728590436067104E-2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0.14639551002807649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5.1634120766826712E-2</v>
      </c>
      <c r="V5" s="53">
        <v>3.4267562712317463E-2</v>
      </c>
      <c r="W5" s="103">
        <v>0.52147230642361864</v>
      </c>
      <c r="X5" s="53">
        <v>0.17062717492423177</v>
      </c>
      <c r="Y5" s="53">
        <v>0.42378359803405485</v>
      </c>
      <c r="Z5" s="103">
        <v>0.64700000000000002</v>
      </c>
    </row>
    <row r="6" spans="1:26">
      <c r="A6" s="3" t="s">
        <v>203</v>
      </c>
      <c r="B6" s="3">
        <v>165</v>
      </c>
      <c r="C6" s="53">
        <v>8.1321568627451005E-2</v>
      </c>
      <c r="D6" s="103">
        <v>7.5594608796639998E-2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6.0660184486618751E-2</v>
      </c>
      <c r="V6" s="53">
        <v>3.4611750465439226E-2</v>
      </c>
      <c r="W6" s="103">
        <v>0.70382133445662309</v>
      </c>
      <c r="X6" s="53">
        <v>0.14502972145556844</v>
      </c>
      <c r="Y6" s="53">
        <v>0.26552011184291902</v>
      </c>
      <c r="Z6" s="103">
        <v>0.79990000000000006</v>
      </c>
    </row>
    <row r="7" spans="1:26">
      <c r="A7" s="3" t="s">
        <v>204</v>
      </c>
      <c r="B7" s="3">
        <v>761</v>
      </c>
      <c r="C7" s="53">
        <v>6.8719931740614457E-2</v>
      </c>
      <c r="D7" s="103">
        <v>5.0112864897864803E-2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5.3688520658493728E-2</v>
      </c>
      <c r="V7" s="53">
        <v>3.8473888094413308E-2</v>
      </c>
      <c r="W7" s="103">
        <v>1.1613589310967309</v>
      </c>
      <c r="X7" s="53">
        <v>7.5788200409424869E-2</v>
      </c>
      <c r="Y7" s="53">
        <v>0.41658239132927549</v>
      </c>
      <c r="Z7" s="103">
        <v>1.2312000000000001</v>
      </c>
    </row>
    <row r="8" spans="1:26">
      <c r="A8" s="3" t="s">
        <v>205</v>
      </c>
      <c r="B8" s="3">
        <v>607</v>
      </c>
      <c r="C8" s="53">
        <v>0.12026280219780222</v>
      </c>
      <c r="D8" s="103">
        <v>2.836437566956165E-3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3.3254363502624396E-2</v>
      </c>
      <c r="V8" s="53">
        <v>5.0798671170112046E-2</v>
      </c>
      <c r="W8" s="103">
        <v>19.575019416478412</v>
      </c>
      <c r="X8" s="53">
        <v>0.12654306384811947</v>
      </c>
      <c r="Y8" s="53">
        <v>0.3069542161513743</v>
      </c>
      <c r="Z8" s="103">
        <v>33.143700000000003</v>
      </c>
    </row>
    <row r="9" spans="1:26">
      <c r="A9" s="3" t="s">
        <v>206</v>
      </c>
      <c r="B9" s="3">
        <v>881</v>
      </c>
      <c r="C9" s="53">
        <v>8.4004418282548593E-2</v>
      </c>
      <c r="D9" s="103">
        <v>-1.0767472807027948E-4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2.958498139413368E-2</v>
      </c>
      <c r="V9" s="53">
        <v>-4.2662562656123115E-2</v>
      </c>
      <c r="W9" s="103" t="s">
        <v>584</v>
      </c>
      <c r="X9" s="53">
        <v>9.8266834992314978E-2</v>
      </c>
      <c r="Y9" s="53">
        <v>0.29089509088479176</v>
      </c>
      <c r="Z9" s="103" t="s">
        <v>584</v>
      </c>
    </row>
    <row r="10" spans="1:26">
      <c r="A10" s="3" t="s">
        <v>207</v>
      </c>
      <c r="B10" s="3">
        <v>220</v>
      </c>
      <c r="C10" s="53">
        <v>8.2478474576271152E-2</v>
      </c>
      <c r="D10" s="103">
        <v>0.21689011757613924</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5.1080512951848511E-2</v>
      </c>
      <c r="V10" s="53">
        <v>2.917893619654361E-2</v>
      </c>
      <c r="W10" s="103">
        <v>0.39674912424489028</v>
      </c>
      <c r="X10" s="53">
        <v>0.16528003825197413</v>
      </c>
      <c r="Y10" s="53">
        <v>0.44614569767062995</v>
      </c>
      <c r="Z10" s="103">
        <v>0.1336</v>
      </c>
    </row>
    <row r="11" spans="1:26">
      <c r="A11" s="3" t="s">
        <v>208</v>
      </c>
      <c r="B11" s="3">
        <v>100</v>
      </c>
      <c r="C11" s="53">
        <v>0.13106444444444451</v>
      </c>
      <c r="D11" s="103">
        <v>0.16712851609847532</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4.6679170313504027E-2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9.9129608106528558E-2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3.7688122982498302E-2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1.1775589724179554E-2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3.2147267807055589E-2</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0.10639298425330174</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4.3511059957789401E-2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9.1545350405106973E-2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2.710004729962024E-2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0.18608743617896145</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0.14155246221551379</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4.654223591776669E-2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9.3408741940223597E-2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6.623860123534521E-2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7.257792118322362E-2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0.11947289608979775</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8.8331116330068696E-2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0.24031355444243951</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9.0487992187492899E-2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7.5579066178782559E-2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1.5317632718716551E-2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0.11390914392035245</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5.6849932065830659E-2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9.8854729669745123E-2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7.8721678720395372E-2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0.15638955743055635</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4.8969042848116234E-2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-4.3496541654489069E-3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5.6708801142149011E-2</v>
      </c>
      <c r="V25" s="53">
        <v>9.623601001085437E-2</v>
      </c>
      <c r="W25" s="103" t="s">
        <v>584</v>
      </c>
      <c r="X25" s="53">
        <v>-8.8267685401764287E-2</v>
      </c>
      <c r="Y25" s="53">
        <v>4.660050948575847E-3</v>
      </c>
      <c r="Z25" s="103">
        <v>2.4076</v>
      </c>
    </row>
    <row r="26" spans="1:26">
      <c r="A26" s="3" t="s">
        <v>223</v>
      </c>
      <c r="B26" s="3">
        <v>1299</v>
      </c>
      <c r="C26" s="53">
        <v>0.18011462915601037</v>
      </c>
      <c r="D26" s="103">
        <v>0.18171077589188137</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5.0126176906218629E-2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0.11068501831140405</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5.7202129044108062E-2</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7.1256670372997793E-2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6.8861988795424267E-2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4.6753507335937999E-2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4.1996586219820449E-2</v>
      </c>
      <c r="V29" s="53">
        <v>2.6957624809844108E-2</v>
      </c>
      <c r="W29" s="103">
        <v>0.87121609949845347</v>
      </c>
      <c r="X29" s="53">
        <v>7.3103505235122948E-2</v>
      </c>
      <c r="Y29" s="53">
        <v>0.32240989273865533</v>
      </c>
      <c r="Z29" s="103">
        <v>1.3365</v>
      </c>
    </row>
    <row r="30" spans="1:26">
      <c r="A30" s="3" t="s">
        <v>227</v>
      </c>
      <c r="B30" s="3">
        <v>1486</v>
      </c>
      <c r="C30" s="53">
        <v>5.8386102941176465E-2</v>
      </c>
      <c r="D30" s="103">
        <v>5.2816362664381306E-2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6.3112176801240233E-2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5.683067060683776E-2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3.3671219608567483E-2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7.3014559299551599E-2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3.7191470751384646E-2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0.10594277625043484</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8.6490349945850892E-2</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8.1559188535383548E-2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4.1915409513242907E-2</v>
      </c>
      <c r="V34" s="53">
        <v>2.7119979747894662E-2</v>
      </c>
      <c r="W34" s="103">
        <v>0.59827152032280362</v>
      </c>
      <c r="X34" s="53">
        <v>0.14471013504560329</v>
      </c>
      <c r="Y34" s="53">
        <v>0.33023374015623391</v>
      </c>
      <c r="Z34" s="103">
        <v>1.5225</v>
      </c>
    </row>
    <row r="35" spans="1:26">
      <c r="A35" s="3" t="s">
        <v>232</v>
      </c>
      <c r="B35" s="3">
        <v>1258</v>
      </c>
      <c r="C35" s="53">
        <v>0.12562276102088155</v>
      </c>
      <c r="D35" s="103">
        <v>0.12676163798911091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4.0021053863203239E-2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7.6612695884300946E-2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4.61542625964197E-2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2.4705012768152908E-2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1.4196921545210836E-2</v>
      </c>
      <c r="V37" s="53">
        <v>9.0395737255761013E-3</v>
      </c>
      <c r="W37" s="103">
        <v>0.48474528312897769</v>
      </c>
      <c r="X37" s="53">
        <v>8.9141667937208555E-2</v>
      </c>
      <c r="Y37" s="53">
        <v>0.56945565182432534</v>
      </c>
      <c r="Z37" s="103">
        <v>0.6089</v>
      </c>
    </row>
    <row r="38" spans="1:26">
      <c r="A38" s="3" t="s">
        <v>235</v>
      </c>
      <c r="B38" s="3">
        <v>383</v>
      </c>
      <c r="C38" s="53">
        <v>5.1528208955223892E-2</v>
      </c>
      <c r="D38" s="103">
        <v>7.2368210587611725E-2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3.5884467044278917E-2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0.29235498362320717</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0.41558883937595664</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0.12429654755321912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5.4258400035237353E-2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3.9498903915860417E-2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8.7350112156806166E-3</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0.13603420361779647</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7.1519539748230346E-2</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0.132841717030939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6.9435145953745721E-3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0.1085649671737164</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7.1738627678908068E-2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0.14018791934418812</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6.3055972025909804E-2</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0.16559847149871118</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3.5742251654174183E-2</v>
      </c>
      <c r="V46" s="53">
        <v>1.3238666896878337E-2</v>
      </c>
      <c r="W46" s="103">
        <v>7.0553053513611574E-2</v>
      </c>
      <c r="X46" s="53">
        <v>0.26800939213262565</v>
      </c>
      <c r="Y46" s="53">
        <v>0.65689100844343251</v>
      </c>
      <c r="Z46" s="103">
        <v>0.3548</v>
      </c>
    </row>
    <row r="47" spans="1:26">
      <c r="A47" s="3" t="s">
        <v>244</v>
      </c>
      <c r="B47" s="3">
        <v>81</v>
      </c>
      <c r="C47" s="53">
        <v>2.0683617021276589E-2</v>
      </c>
      <c r="D47" s="103">
        <v>0.10927793514353079</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1.9734900420309842E-2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0.11829078864545525</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7.5983583944395005E-3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0.10819946113762266</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6.8793425377158711E-3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9.7581466004191875E-2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6.965993910183885E-3</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0.17622005224472409</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3.600827575408963E-2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9.9188091807699746E-2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4.1859504460015663E-2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0.1066486206425039</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8.001763962680733E-2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7.0961579936263952E-2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2.4677177006253253E-2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0.18330450455077879</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7.5515814514412374E-2</v>
      </c>
      <c r="V55" s="53">
        <v>1.7882863221327785E-2</v>
      </c>
      <c r="W55" s="103">
        <v>0.1470972992362721</v>
      </c>
      <c r="X55" s="53">
        <v>0.21117990075672649</v>
      </c>
      <c r="Y55" s="53">
        <v>0.48938589191024878</v>
      </c>
      <c r="Z55" s="103">
        <v>0.3679</v>
      </c>
    </row>
    <row r="56" spans="1:26">
      <c r="A56" s="3" t="s">
        <v>253</v>
      </c>
      <c r="B56" s="3">
        <v>590</v>
      </c>
      <c r="C56" s="53">
        <v>0.26669155223880614</v>
      </c>
      <c r="D56" s="103">
        <v>0.36359811391786417</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0.27791758398609795</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0.20652391715940321</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0.11718132418192696</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6.7211945796333383E-2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3.9255162065945412E-2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9.1697469290684869E-2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7.3430271754610754E-2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6.5469265151261863E-2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0.10356254127142554</v>
      </c>
      <c r="V60" s="53">
        <v>6.8286821802886769E-2</v>
      </c>
      <c r="W60" s="103">
        <v>1.5270401595610297</v>
      </c>
      <c r="X60" s="53">
        <v>6.4685812884941685E-2</v>
      </c>
      <c r="Y60" s="53">
        <v>0.55881830017691447</v>
      </c>
      <c r="Z60" s="103">
        <v>0.6855</v>
      </c>
    </row>
    <row r="61" spans="1:26">
      <c r="A61" s="3" t="s">
        <v>258</v>
      </c>
      <c r="B61" s="3">
        <v>488</v>
      </c>
      <c r="C61" s="53">
        <v>0.10553491271820446</v>
      </c>
      <c r="D61" s="103">
        <v>0.13542991805419821</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0.16145031366596388</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0.11716428482873288</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0.18593105272862404</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7.5733670014209539E-2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3.023021107723154E-2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0.30402639114664837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6.0725251904459342E-2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5.0080867769680779E-2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2.4175751924503074E-2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0.15167474002655593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8.6251862945798785E-2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0.16934513350573324</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2.5089112611829594E-2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0.11257736658811469</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6.2188333287252054E-2</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0.10234972842353283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6.7383761889283872E-4</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9.5059010957297199E-2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4.2112293334399038E-2</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4.5843634003713801E-2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1.94756882094714E-2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0.10876679058825126</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2.635790719826963E-2</v>
      </c>
      <c r="V72" s="53">
        <v>8.4592894467163497E-3</v>
      </c>
      <c r="W72" s="103">
        <v>5.8794934852472613E-2</v>
      </c>
      <c r="X72" s="53">
        <v>0.85228172803753866</v>
      </c>
      <c r="Y72" s="53">
        <v>0.47316731981227755</v>
      </c>
      <c r="Z72" s="103">
        <v>0.1226</v>
      </c>
    </row>
    <row r="73" spans="1:26">
      <c r="A73" s="3" t="s">
        <v>270</v>
      </c>
      <c r="B73" s="3">
        <v>1028</v>
      </c>
      <c r="C73" s="53">
        <v>0.10370086657496563</v>
      </c>
      <c r="D73" s="103">
        <v>5.2198984719087675E-2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2.7385728666768458E-2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4.3542241635271914E-2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4.7244512276556745E-2</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3.9152682778807651E-2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2.9563097141051251E-2</v>
      </c>
      <c r="V75" s="53">
        <v>9.885347371725476E-3</v>
      </c>
      <c r="W75" s="103">
        <v>0.30008433336189916</v>
      </c>
      <c r="X75" s="53">
        <v>0.10054514265836895</v>
      </c>
      <c r="Y75" s="53">
        <v>0.50215049989591976</v>
      </c>
      <c r="Z75" s="103">
        <v>0.4995</v>
      </c>
    </row>
    <row r="76" spans="1:26">
      <c r="A76" s="3" t="s">
        <v>273</v>
      </c>
      <c r="B76" s="3">
        <v>123</v>
      </c>
      <c r="C76" s="53">
        <v>5.323048543689321E-2</v>
      </c>
      <c r="D76" s="103">
        <v>0.48374162072210697</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3.4648147310819444E-2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5.04221790728843E-2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2.2601381462110832E-2</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8.7797443814186651E-2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6.427069529051857E-2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0.16322682653942916</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0.20552519176488981</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0.21824208267685805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0.10522991608042923</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0.17220230906567344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0.10792273114460793</v>
      </c>
      <c r="V81" s="53">
        <v>5.447159926448495E-2</v>
      </c>
      <c r="W81" s="103">
        <v>0.15408897103284014</v>
      </c>
      <c r="X81" s="53">
        <v>0.13643801936112437</v>
      </c>
      <c r="Y81" s="53">
        <v>0.98443637265788042</v>
      </c>
      <c r="Z81" s="103">
        <v>1.8086</v>
      </c>
    </row>
    <row r="82" spans="1:26">
      <c r="A82" s="3" t="s">
        <v>279</v>
      </c>
      <c r="B82" s="3">
        <v>85</v>
      </c>
      <c r="C82" s="53">
        <v>-1.5779047619047627E-2</v>
      </c>
      <c r="D82" s="103">
        <v>9.6810510662738339E-2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1.5544843240502102E-2</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0.24397492356226394</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0.10657483391064425</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-7.9294626938409478E-4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5.952822499084804E-2</v>
      </c>
      <c r="V84" s="53">
        <v>3.3495177178797853E-2</v>
      </c>
      <c r="W84" s="103" t="s">
        <v>584</v>
      </c>
      <c r="X84" s="53">
        <v>-0.1000445714406943</v>
      </c>
      <c r="Y84" s="53">
        <v>3.7426538106636142E-3</v>
      </c>
      <c r="Z84" s="103">
        <v>2.8454999999999999</v>
      </c>
    </row>
    <row r="85" spans="1:26">
      <c r="A85" s="3" t="s">
        <v>282</v>
      </c>
      <c r="B85" s="3">
        <v>1616</v>
      </c>
      <c r="C85" s="53">
        <v>0.14317631639722875</v>
      </c>
      <c r="D85" s="103">
        <v>0.20245159521759304</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7.2338647326731509E-2</v>
      </c>
      <c r="V85" s="53">
        <v>5.8858352723089355E-2</v>
      </c>
      <c r="W85" s="103">
        <v>0.47630101656615403</v>
      </c>
      <c r="X85" s="53">
        <v>0.16957095297200744</v>
      </c>
      <c r="Y85" s="53">
        <v>0.32891322539673207</v>
      </c>
      <c r="Z85" s="103">
        <v>0.89</v>
      </c>
    </row>
    <row r="86" spans="1:26">
      <c r="A86" s="3" t="s">
        <v>283</v>
      </c>
      <c r="B86" s="3">
        <v>718</v>
      </c>
      <c r="C86" s="53">
        <v>8.9877693761814953E-2</v>
      </c>
      <c r="D86" s="103">
        <v>7.1882709961167288E-2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6.0461241690778517E-2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0.14601324969098126</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0.15233253139594796</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0.10996963575683866</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3.1587752026217802E-2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0.15465250724642493</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0.14743047766451223</v>
      </c>
      <c r="V89" s="53">
        <v>-1.4085192899059247E-2</v>
      </c>
      <c r="W89" s="103">
        <v>-3.2843039502150062E-2</v>
      </c>
      <c r="X89" s="53">
        <v>7.7965825034148964E-2</v>
      </c>
      <c r="Y89" s="53">
        <v>0.89726292934699314</v>
      </c>
      <c r="Z89" s="103">
        <v>0.1409</v>
      </c>
    </row>
    <row r="90" spans="1:26">
      <c r="A90" s="3" t="s">
        <v>287</v>
      </c>
      <c r="B90" s="3">
        <v>56</v>
      </c>
      <c r="C90" s="53">
        <v>0.17277631578947372</v>
      </c>
      <c r="D90" s="103">
        <v>0.33764511168785449</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2.7943882680795992E-2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8.1729681142174035E-2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4.7915082111758524E-2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0.21498144726244756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0.15777752692235825</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8.6002602084205251E-2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0.11440306207150297</v>
      </c>
      <c r="V93" s="53">
        <v>7.0906288771700826E-2</v>
      </c>
      <c r="W93" s="103">
        <v>1.0534268769842428</v>
      </c>
      <c r="X93" s="53">
        <v>0.12020693727190154</v>
      </c>
      <c r="Y93" s="53">
        <v>0.20666338943773319</v>
      </c>
      <c r="Z93" s="103">
        <v>1.2805</v>
      </c>
    </row>
    <row r="94" spans="1:26">
      <c r="A94" s="3" t="s">
        <v>291</v>
      </c>
      <c r="B94" s="3">
        <v>50</v>
      </c>
      <c r="C94" s="53">
        <v>7.822044444444444E-2</v>
      </c>
      <c r="D94" s="103">
        <v>0.12264771308987717</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0.14206470240344751</v>
      </c>
      <c r="V94" s="53">
        <v>7.7470213531287552E-2</v>
      </c>
      <c r="W94" s="103">
        <v>0.78421627401339178</v>
      </c>
      <c r="X94" s="53">
        <v>0.10614481878166143</v>
      </c>
      <c r="Y94" s="53">
        <v>0.66703361608745293</v>
      </c>
      <c r="Z94" s="103">
        <v>0.749</v>
      </c>
    </row>
    <row r="95" spans="1:26">
      <c r="A95" s="3" t="s">
        <v>292</v>
      </c>
      <c r="B95" s="3">
        <v>102</v>
      </c>
      <c r="C95" s="53">
        <v>6.4320126582278495E-2</v>
      </c>
      <c r="D95" s="103">
        <v>0.23268694623750139</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0.22672810101363378</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19"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5.2219473999336782E-2</v>
      </c>
      <c r="E2" s="53">
        <v>7.219473999336784E-3</v>
      </c>
      <c r="F2" s="53">
        <v>0.15</v>
      </c>
      <c r="G2" s="3" t="s">
        <v>38</v>
      </c>
      <c r="K2" s="58"/>
    </row>
    <row r="3" spans="1:11">
      <c r="A3" s="3" t="s">
        <v>39</v>
      </c>
      <c r="B3" s="3">
        <v>13.04</v>
      </c>
      <c r="C3" s="53">
        <v>5.5078211009174309E-2</v>
      </c>
      <c r="D3" s="53">
        <f>$D$148+E3</f>
        <v>0.11083472718442829</v>
      </c>
      <c r="E3" s="53">
        <v>6.5834727184428288E-2</v>
      </c>
      <c r="F3" s="53">
        <v>0.15</v>
      </c>
      <c r="G3" s="3" t="s">
        <v>40</v>
      </c>
      <c r="K3" s="58"/>
    </row>
    <row r="4" spans="1:11">
      <c r="A4" s="3" t="s">
        <v>590</v>
      </c>
      <c r="B4" s="3">
        <v>3.01</v>
      </c>
      <c r="C4" s="53">
        <v>2.3296788990825688E-2</v>
      </c>
      <c r="D4" s="53">
        <f t="shared" ref="D4:D67" si="0">$D$148+E4</f>
        <v>7.2846542568870451E-2</v>
      </c>
      <c r="E4" s="53">
        <v>2.7846542568870453E-2</v>
      </c>
      <c r="F4" s="53">
        <v>0.1</v>
      </c>
      <c r="G4" s="3" t="s">
        <v>42</v>
      </c>
      <c r="K4" s="58"/>
    </row>
    <row r="5" spans="1:11">
      <c r="A5" s="3" t="s">
        <v>43</v>
      </c>
      <c r="B5" s="3">
        <v>124.21</v>
      </c>
      <c r="C5" s="53">
        <v>7.9525458715596339E-2</v>
      </c>
      <c r="D5" s="53">
        <f t="shared" si="0"/>
        <v>0.14005640765793431</v>
      </c>
      <c r="E5" s="53">
        <v>9.5056407657934314E-2</v>
      </c>
      <c r="F5" s="53">
        <v>0.25</v>
      </c>
      <c r="G5" s="3" t="s">
        <v>44</v>
      </c>
      <c r="K5" s="58"/>
    </row>
    <row r="6" spans="1:11">
      <c r="A6" s="3" t="s">
        <v>45</v>
      </c>
      <c r="B6" s="3">
        <v>637.59</v>
      </c>
      <c r="C6" s="53">
        <v>0.14682729357798166</v>
      </c>
      <c r="D6" s="53">
        <f t="shared" si="0"/>
        <v>0.22050197507911562</v>
      </c>
      <c r="E6" s="53">
        <v>0.17550197507911564</v>
      </c>
      <c r="F6" s="53">
        <v>0.35</v>
      </c>
      <c r="G6" s="3" t="s">
        <v>46</v>
      </c>
      <c r="K6" s="58"/>
    </row>
    <row r="7" spans="1:11">
      <c r="A7" s="3" t="s">
        <v>47</v>
      </c>
      <c r="B7" s="3">
        <v>11.54</v>
      </c>
      <c r="C7" s="53">
        <v>4.4005045871559637E-2</v>
      </c>
      <c r="D7" s="53">
        <f t="shared" si="0"/>
        <v>9.7599024852310853E-2</v>
      </c>
      <c r="E7" s="53">
        <v>5.2599024852310855E-2</v>
      </c>
      <c r="F7" s="53">
        <v>0.18</v>
      </c>
      <c r="G7" s="3" t="s">
        <v>40</v>
      </c>
      <c r="K7" s="58"/>
    </row>
    <row r="8" spans="1:11">
      <c r="A8" s="3" t="s">
        <v>48</v>
      </c>
      <c r="B8" s="3">
        <v>3</v>
      </c>
      <c r="C8" s="53">
        <v>2.3296788990825688E-2</v>
      </c>
      <c r="D8" s="53">
        <f t="shared" si="0"/>
        <v>7.2846542568870451E-2</v>
      </c>
      <c r="E8" s="53">
        <v>2.7846542568870453E-2</v>
      </c>
      <c r="F8" s="53">
        <v>0.25</v>
      </c>
      <c r="G8" s="3" t="s">
        <v>49</v>
      </c>
      <c r="K8" s="58"/>
    </row>
    <row r="9" spans="1:11">
      <c r="A9" s="3" t="s">
        <v>50</v>
      </c>
      <c r="B9" s="3">
        <v>1323.42</v>
      </c>
      <c r="C9" s="53">
        <v>0</v>
      </c>
      <c r="D9" s="53">
        <f t="shared" si="0"/>
        <v>4.4999999999999998E-2</v>
      </c>
      <c r="E9" s="53">
        <v>0</v>
      </c>
      <c r="F9" s="53">
        <v>0.3</v>
      </c>
      <c r="G9" s="3" t="s">
        <v>51</v>
      </c>
      <c r="K9" s="58"/>
    </row>
    <row r="10" spans="1:11">
      <c r="A10" s="3" t="s">
        <v>52</v>
      </c>
      <c r="B10" s="3">
        <v>416.6</v>
      </c>
      <c r="C10" s="53">
        <v>4.8894495412844033E-3</v>
      </c>
      <c r="D10" s="53">
        <f t="shared" si="0"/>
        <v>5.0844336094701202E-2</v>
      </c>
      <c r="E10" s="53">
        <v>5.8443360947012038E-3</v>
      </c>
      <c r="F10" s="53">
        <v>0.24</v>
      </c>
      <c r="G10" s="3" t="s">
        <v>42</v>
      </c>
      <c r="K10" s="58"/>
    </row>
    <row r="11" spans="1:11">
      <c r="A11" s="3" t="s">
        <v>53</v>
      </c>
      <c r="B11" s="3">
        <v>40.75</v>
      </c>
      <c r="C11" s="53">
        <v>3.0630963302752296E-2</v>
      </c>
      <c r="D11" s="53">
        <f t="shared" si="0"/>
        <v>8.161304671092226E-2</v>
      </c>
      <c r="E11" s="53">
        <v>3.6613046710922262E-2</v>
      </c>
      <c r="F11" s="53">
        <v>0.2</v>
      </c>
      <c r="G11" s="3" t="s">
        <v>40</v>
      </c>
      <c r="K11" s="58"/>
    </row>
    <row r="12" spans="1:11">
      <c r="A12" s="3" t="s">
        <v>54</v>
      </c>
      <c r="B12" s="3">
        <v>12.16</v>
      </c>
      <c r="C12" s="53">
        <v>5.5078211009174309E-2</v>
      </c>
      <c r="D12" s="53">
        <f t="shared" si="0"/>
        <v>0.11083472718442829</v>
      </c>
      <c r="E12" s="53">
        <v>6.5834727184428288E-2</v>
      </c>
      <c r="F12" s="53">
        <v>0</v>
      </c>
      <c r="G12" s="3" t="s">
        <v>49</v>
      </c>
      <c r="K12" s="58"/>
    </row>
    <row r="13" spans="1:11">
      <c r="A13" s="3" t="s">
        <v>55</v>
      </c>
      <c r="B13" s="3">
        <v>35.31</v>
      </c>
      <c r="C13" s="53">
        <v>6.7301834862385335E-2</v>
      </c>
      <c r="D13" s="53">
        <f t="shared" si="0"/>
        <v>0.12544556742118129</v>
      </c>
      <c r="E13" s="53">
        <v>8.0445567421181294E-2</v>
      </c>
      <c r="F13" s="53">
        <v>0</v>
      </c>
      <c r="G13" s="3" t="s">
        <v>38</v>
      </c>
      <c r="K13" s="58"/>
    </row>
    <row r="14" spans="1:11">
      <c r="A14" s="3" t="s">
        <v>56</v>
      </c>
      <c r="B14" s="3">
        <v>249.72</v>
      </c>
      <c r="C14" s="53">
        <v>4.4005045871559637E-2</v>
      </c>
      <c r="D14" s="53">
        <f t="shared" si="0"/>
        <v>0.11083472718442829</v>
      </c>
      <c r="E14" s="53">
        <v>6.5834727184428288E-2</v>
      </c>
      <c r="F14" s="53">
        <v>0.32500000000000001</v>
      </c>
      <c r="G14" s="3" t="s">
        <v>57</v>
      </c>
      <c r="K14" s="58"/>
    </row>
    <row r="15" spans="1:11">
      <c r="A15" s="3" t="s">
        <v>58</v>
      </c>
      <c r="B15" s="3">
        <v>4.8</v>
      </c>
      <c r="C15" s="53">
        <v>9.1749082568807344E-2</v>
      </c>
      <c r="D15" s="53">
        <f t="shared" si="0"/>
        <v>0.14005640765793431</v>
      </c>
      <c r="E15" s="53">
        <v>9.5056407657934314E-2</v>
      </c>
      <c r="F15" s="53">
        <v>5.5E-2</v>
      </c>
      <c r="G15" s="3" t="s">
        <v>49</v>
      </c>
      <c r="K15" s="58"/>
    </row>
    <row r="16" spans="1:11">
      <c r="A16" s="3" t="s">
        <v>59</v>
      </c>
      <c r="B16" s="3">
        <v>54.44</v>
      </c>
      <c r="C16" s="53">
        <v>0.14682729357798166</v>
      </c>
      <c r="D16" s="53">
        <f t="shared" si="0"/>
        <v>0.27992692770782934</v>
      </c>
      <c r="E16" s="53">
        <v>0.23492692770782936</v>
      </c>
      <c r="F16" s="53">
        <v>0.18</v>
      </c>
      <c r="G16" s="3" t="s">
        <v>40</v>
      </c>
      <c r="K16" s="58"/>
    </row>
    <row r="17" spans="1:11">
      <c r="A17" s="3" t="s">
        <v>60</v>
      </c>
      <c r="B17" s="3">
        <v>492.68</v>
      </c>
      <c r="C17" s="53">
        <v>7.3341743119266058E-3</v>
      </c>
      <c r="D17" s="53">
        <f t="shared" si="0"/>
        <v>5.3766504142051808E-2</v>
      </c>
      <c r="E17" s="53">
        <v>8.7665041420518092E-3</v>
      </c>
      <c r="F17" s="53">
        <v>0.25</v>
      </c>
      <c r="G17" s="3" t="s">
        <v>42</v>
      </c>
      <c r="K17" s="58"/>
    </row>
    <row r="18" spans="1:11">
      <c r="A18" s="3" t="s">
        <v>61</v>
      </c>
      <c r="B18" s="3">
        <v>1.84</v>
      </c>
      <c r="C18" s="53">
        <v>0.11015642201834862</v>
      </c>
      <c r="D18" s="53">
        <f t="shared" si="0"/>
        <v>0.17666945436885656</v>
      </c>
      <c r="E18" s="53">
        <v>0.13166945436885658</v>
      </c>
      <c r="F18" s="53"/>
      <c r="G18" s="3" t="s">
        <v>46</v>
      </c>
      <c r="K18" s="58"/>
    </row>
    <row r="19" spans="1:11">
      <c r="A19" s="3" t="s">
        <v>63</v>
      </c>
      <c r="B19" s="3">
        <v>6.2</v>
      </c>
      <c r="C19" s="53">
        <v>1.0354128440366973E-2</v>
      </c>
      <c r="D19" s="53">
        <f t="shared" si="0"/>
        <v>5.73762411417202E-2</v>
      </c>
      <c r="E19" s="53">
        <v>1.2376241141720201E-2</v>
      </c>
      <c r="F19" s="53">
        <v>0</v>
      </c>
      <c r="G19" s="3" t="s">
        <v>49</v>
      </c>
      <c r="K19" s="58"/>
    </row>
    <row r="20" spans="1:11">
      <c r="A20" s="3" t="s">
        <v>64</v>
      </c>
      <c r="B20" s="3">
        <v>37.51</v>
      </c>
      <c r="C20" s="53">
        <v>6.7301834862385335E-2</v>
      </c>
      <c r="D20" s="53">
        <f t="shared" si="0"/>
        <v>0.15466724789468733</v>
      </c>
      <c r="E20" s="53">
        <v>0.10966724789468733</v>
      </c>
      <c r="F20" s="53">
        <v>0.25</v>
      </c>
      <c r="G20" s="3" t="s">
        <v>46</v>
      </c>
      <c r="K20" s="58"/>
    </row>
    <row r="21" spans="1:11">
      <c r="A21" s="3" t="s">
        <v>65</v>
      </c>
      <c r="B21" s="3">
        <v>18.170000000000002</v>
      </c>
      <c r="C21" s="53">
        <v>7.9525458715596339E-2</v>
      </c>
      <c r="D21" s="53">
        <f t="shared" si="0"/>
        <v>0.14005640765793431</v>
      </c>
      <c r="E21" s="53">
        <v>9.5056407657934314E-2</v>
      </c>
      <c r="F21" s="53">
        <v>0.1</v>
      </c>
      <c r="G21" s="3" t="s">
        <v>40</v>
      </c>
      <c r="K21" s="58"/>
    </row>
    <row r="22" spans="1:11">
      <c r="A22" s="3" t="s">
        <v>66</v>
      </c>
      <c r="B22" s="3">
        <v>17.406530780715503</v>
      </c>
      <c r="C22" s="53">
        <v>1.4668348623853212E-2</v>
      </c>
      <c r="D22" s="53">
        <f t="shared" si="0"/>
        <v>6.2533008284103617E-2</v>
      </c>
      <c r="E22" s="53">
        <v>1.7533008284103618E-2</v>
      </c>
      <c r="F22" s="53">
        <v>0.22</v>
      </c>
      <c r="G22" s="3" t="s">
        <v>44</v>
      </c>
      <c r="K22" s="58"/>
    </row>
    <row r="23" spans="1:11">
      <c r="A23" s="3" t="s">
        <v>67</v>
      </c>
      <c r="B23" s="3">
        <v>2055.5055022247288</v>
      </c>
      <c r="C23" s="53">
        <v>3.6814678899082569E-2</v>
      </c>
      <c r="D23" s="53">
        <f t="shared" si="0"/>
        <v>8.9004412948338496E-2</v>
      </c>
      <c r="E23" s="53">
        <v>4.4004412948338498E-2</v>
      </c>
      <c r="F23" s="53">
        <v>0.34</v>
      </c>
      <c r="G23" s="3" t="s">
        <v>46</v>
      </c>
      <c r="K23" s="58"/>
    </row>
    <row r="24" spans="1:11">
      <c r="A24" s="3" t="s">
        <v>68</v>
      </c>
      <c r="B24" s="3">
        <v>56.831518294439654</v>
      </c>
      <c r="C24" s="53">
        <v>1.9557798165137613E-2</v>
      </c>
      <c r="D24" s="53">
        <f t="shared" si="0"/>
        <v>6.8377344378804827E-2</v>
      </c>
      <c r="E24" s="53">
        <v>2.3377344378804829E-2</v>
      </c>
      <c r="F24" s="53">
        <v>0.1</v>
      </c>
      <c r="G24" s="3" t="s">
        <v>40</v>
      </c>
      <c r="K24" s="58"/>
    </row>
    <row r="25" spans="1:11">
      <c r="A25" s="3" t="s">
        <v>69</v>
      </c>
      <c r="B25" s="3">
        <v>12.87311480001652</v>
      </c>
      <c r="C25" s="53">
        <v>9.1749082568807344E-2</v>
      </c>
      <c r="D25" s="53">
        <f t="shared" si="0"/>
        <v>0.15466724789468733</v>
      </c>
      <c r="E25" s="53">
        <v>0.10966724789468733</v>
      </c>
      <c r="F25" s="53">
        <v>0.28000000000000003</v>
      </c>
      <c r="G25" s="3" t="s">
        <v>44</v>
      </c>
      <c r="K25" s="58"/>
    </row>
    <row r="26" spans="1:11">
      <c r="A26" s="3" t="s">
        <v>70</v>
      </c>
      <c r="B26" s="3">
        <v>22.158209502639128</v>
      </c>
      <c r="C26" s="53">
        <v>6.7301834862385335E-2</v>
      </c>
      <c r="D26" s="53">
        <f t="shared" si="0"/>
        <v>0.12544556742118129</v>
      </c>
      <c r="E26" s="53">
        <v>8.0445567421181294E-2</v>
      </c>
      <c r="F26" s="53">
        <v>0.2</v>
      </c>
      <c r="G26" s="3" t="s">
        <v>57</v>
      </c>
      <c r="K26" s="58"/>
    </row>
    <row r="27" spans="1:11">
      <c r="A27" s="3" t="s">
        <v>71</v>
      </c>
      <c r="B27" s="3">
        <v>34.798596482427428</v>
      </c>
      <c r="C27" s="53">
        <v>6.7301834862385335E-2</v>
      </c>
      <c r="D27" s="53">
        <f t="shared" si="0"/>
        <v>0.15466724789468733</v>
      </c>
      <c r="E27" s="53">
        <v>0.10966724789468733</v>
      </c>
      <c r="F27" s="53">
        <v>0.33</v>
      </c>
      <c r="G27" s="3" t="s">
        <v>44</v>
      </c>
      <c r="K27" s="58"/>
    </row>
    <row r="28" spans="1:11">
      <c r="A28" s="3" t="s">
        <v>72</v>
      </c>
      <c r="B28" s="3">
        <v>1653.042795255044</v>
      </c>
      <c r="C28" s="53">
        <v>0</v>
      </c>
      <c r="D28" s="53">
        <f t="shared" si="0"/>
        <v>4.4999999999999998E-2</v>
      </c>
      <c r="E28" s="53">
        <v>0</v>
      </c>
      <c r="F28" s="53">
        <v>0.25</v>
      </c>
      <c r="G28" s="3" t="s">
        <v>73</v>
      </c>
      <c r="K28" s="58"/>
    </row>
    <row r="29" spans="1:11">
      <c r="A29" s="3" t="s">
        <v>74</v>
      </c>
      <c r="B29" s="3">
        <v>3.2</v>
      </c>
      <c r="C29" s="53">
        <v>7.9525458715596339E-2</v>
      </c>
      <c r="D29" s="53">
        <f t="shared" si="0"/>
        <v>0.14005640765793431</v>
      </c>
      <c r="E29" s="53">
        <v>9.5056407657934314E-2</v>
      </c>
      <c r="F29" s="53"/>
      <c r="G29" s="3" t="s">
        <v>44</v>
      </c>
      <c r="K29" s="58"/>
    </row>
    <row r="30" spans="1:11">
      <c r="A30" s="3" t="s">
        <v>75</v>
      </c>
      <c r="B30" s="3">
        <v>1.9</v>
      </c>
      <c r="C30" s="53">
        <v>7.3341743119266058E-3</v>
      </c>
      <c r="D30" s="53">
        <f t="shared" si="0"/>
        <v>5.3766504142051808E-2</v>
      </c>
      <c r="E30" s="53">
        <v>8.7665041420518092E-3</v>
      </c>
      <c r="F30" s="53">
        <v>0</v>
      </c>
      <c r="G30" s="3" t="s">
        <v>49</v>
      </c>
      <c r="K30" s="58"/>
    </row>
    <row r="31" spans="1:11">
      <c r="A31" s="3" t="s">
        <v>76</v>
      </c>
      <c r="B31" s="3">
        <v>277.07594440194083</v>
      </c>
      <c r="C31" s="53">
        <v>1.0354128440366973E-2</v>
      </c>
      <c r="D31" s="53">
        <f t="shared" si="0"/>
        <v>5.73762411417202E-2</v>
      </c>
      <c r="E31" s="53">
        <v>1.2376241141720201E-2</v>
      </c>
      <c r="F31" s="53">
        <v>0.27</v>
      </c>
      <c r="G31" s="3" t="s">
        <v>46</v>
      </c>
      <c r="K31" s="58"/>
    </row>
    <row r="32" spans="1:11">
      <c r="A32" s="3" t="s">
        <v>77</v>
      </c>
      <c r="B32" s="3">
        <v>12237.700479375037</v>
      </c>
      <c r="C32" s="53">
        <v>8.6284403669724778E-3</v>
      </c>
      <c r="D32" s="53">
        <f t="shared" si="0"/>
        <v>5.5313534284766833E-2</v>
      </c>
      <c r="E32" s="53">
        <v>1.0313534284766834E-2</v>
      </c>
      <c r="F32" s="53">
        <v>0.25</v>
      </c>
      <c r="G32" s="3" t="s">
        <v>57</v>
      </c>
      <c r="K32" s="58"/>
    </row>
    <row r="33" spans="1:11">
      <c r="A33" s="3" t="s">
        <v>78</v>
      </c>
      <c r="B33" s="3">
        <v>309.19138283336514</v>
      </c>
      <c r="C33" s="53">
        <v>2.3296788990825688E-2</v>
      </c>
      <c r="D33" s="53">
        <f t="shared" si="0"/>
        <v>7.2846542568870451E-2</v>
      </c>
      <c r="E33" s="53">
        <v>2.7846542568870453E-2</v>
      </c>
      <c r="F33" s="53">
        <v>0.35</v>
      </c>
      <c r="G33" s="3" t="s">
        <v>46</v>
      </c>
      <c r="K33" s="58"/>
    </row>
    <row r="34" spans="1:11">
      <c r="A34" s="3" t="s">
        <v>79</v>
      </c>
      <c r="B34" s="3">
        <v>37.24</v>
      </c>
      <c r="C34" s="53">
        <v>7.9525458715596339E-2</v>
      </c>
      <c r="D34" s="53">
        <f t="shared" si="0"/>
        <v>0.14005640765793431</v>
      </c>
      <c r="E34" s="53">
        <v>9.5056407657934314E-2</v>
      </c>
      <c r="F34" s="53">
        <v>0.28000000000000003</v>
      </c>
      <c r="G34" s="3" t="s">
        <v>44</v>
      </c>
      <c r="K34" s="58"/>
    </row>
    <row r="35" spans="1:11">
      <c r="A35" s="3" t="s">
        <v>80</v>
      </c>
      <c r="B35" s="3">
        <v>8.7200000000000006</v>
      </c>
      <c r="C35" s="53">
        <v>0.11015642201834862</v>
      </c>
      <c r="D35" s="53">
        <f t="shared" si="0"/>
        <v>0.17666945436885656</v>
      </c>
      <c r="E35" s="53">
        <v>0.13166945436885658</v>
      </c>
      <c r="F35" s="53">
        <v>0.3</v>
      </c>
      <c r="G35" s="3" t="s">
        <v>44</v>
      </c>
      <c r="K35" s="58"/>
    </row>
    <row r="36" spans="1:11">
      <c r="A36" s="3" t="s">
        <v>81</v>
      </c>
      <c r="B36" s="3">
        <v>1.2</v>
      </c>
      <c r="C36" s="53">
        <v>5.5078211009174309E-2</v>
      </c>
      <c r="D36" s="53">
        <f t="shared" si="0"/>
        <v>0.11083472718442829</v>
      </c>
      <c r="E36" s="53">
        <v>6.5834727184428288E-2</v>
      </c>
      <c r="F36" s="53"/>
      <c r="G36" s="3" t="s">
        <v>51</v>
      </c>
      <c r="K36" s="58"/>
    </row>
    <row r="37" spans="1:11">
      <c r="A37" s="3" t="s">
        <v>82</v>
      </c>
      <c r="B37" s="3">
        <v>57.057372468038302</v>
      </c>
      <c r="C37" s="53">
        <v>6.7301834862385335E-2</v>
      </c>
      <c r="D37" s="53">
        <f t="shared" si="0"/>
        <v>0.11083472718442829</v>
      </c>
      <c r="E37" s="53">
        <v>6.5834727184428288E-2</v>
      </c>
      <c r="F37" s="53">
        <v>0.3</v>
      </c>
      <c r="G37" s="3" t="s">
        <v>46</v>
      </c>
      <c r="K37" s="58"/>
    </row>
    <row r="38" spans="1:11">
      <c r="A38" s="3" t="s">
        <v>83</v>
      </c>
      <c r="B38" s="3">
        <v>40.388624117110865</v>
      </c>
      <c r="C38" s="53">
        <v>4.4005045871559637E-2</v>
      </c>
      <c r="D38" s="53">
        <f t="shared" si="0"/>
        <v>0.10707460019490968</v>
      </c>
      <c r="E38" s="53">
        <v>6.2074600194909679E-2</v>
      </c>
      <c r="F38" s="53"/>
      <c r="G38" s="3" t="s">
        <v>44</v>
      </c>
      <c r="K38" s="58"/>
    </row>
    <row r="39" spans="1:11">
      <c r="A39" s="3" t="s">
        <v>84</v>
      </c>
      <c r="B39" s="3">
        <v>54.849180228871646</v>
      </c>
      <c r="C39" s="53">
        <v>2.3296788990825688E-2</v>
      </c>
      <c r="D39" s="53">
        <f t="shared" si="0"/>
        <v>7.2846542568870451E-2</v>
      </c>
      <c r="E39" s="53">
        <v>2.7846542568870453E-2</v>
      </c>
      <c r="F39" s="53">
        <v>0.18</v>
      </c>
      <c r="G39" s="3" t="s">
        <v>40</v>
      </c>
      <c r="K39" s="58"/>
    </row>
    <row r="40" spans="1:11">
      <c r="A40" s="3" t="s">
        <v>85</v>
      </c>
      <c r="B40" s="3">
        <v>81.599999999999994</v>
      </c>
      <c r="C40" s="53">
        <v>0.14682729357798166</v>
      </c>
      <c r="D40" s="53">
        <f t="shared" si="0"/>
        <v>0.22050197507911562</v>
      </c>
      <c r="E40" s="53">
        <v>0.17550197507911564</v>
      </c>
      <c r="F40" s="53"/>
      <c r="G40" s="3" t="s">
        <v>49</v>
      </c>
      <c r="K40" s="58"/>
    </row>
    <row r="41" spans="1:11">
      <c r="A41" s="3" t="s">
        <v>86</v>
      </c>
      <c r="B41" s="3">
        <v>1</v>
      </c>
      <c r="C41" s="53">
        <v>2.3296788990825688E-2</v>
      </c>
      <c r="D41" s="53">
        <f t="shared" si="0"/>
        <v>7.2846542568870451E-2</v>
      </c>
      <c r="E41" s="53">
        <v>2.7846542568870453E-2</v>
      </c>
      <c r="F41" s="53">
        <v>0.22</v>
      </c>
      <c r="G41" s="3" t="s">
        <v>49</v>
      </c>
      <c r="K41" s="58"/>
    </row>
    <row r="42" spans="1:11">
      <c r="A42" s="3" t="s">
        <v>87</v>
      </c>
      <c r="B42" s="3">
        <v>21.651791751183232</v>
      </c>
      <c r="C42" s="53">
        <v>3.0630963302752296E-2</v>
      </c>
      <c r="D42" s="53">
        <f t="shared" si="0"/>
        <v>7.2846542568870451E-2</v>
      </c>
      <c r="E42" s="53">
        <v>2.7846542568870453E-2</v>
      </c>
      <c r="F42" s="53">
        <v>0.125</v>
      </c>
      <c r="G42" s="3" t="s">
        <v>42</v>
      </c>
      <c r="K42" s="58"/>
    </row>
    <row r="43" spans="1:11">
      <c r="A43" s="3" t="s">
        <v>88</v>
      </c>
      <c r="B43" s="3">
        <v>215.72553437237121</v>
      </c>
      <c r="C43" s="53">
        <v>7.3341743119266058E-3</v>
      </c>
      <c r="D43" s="53">
        <f t="shared" si="0"/>
        <v>5.3766504142051808E-2</v>
      </c>
      <c r="E43" s="53">
        <v>8.7665041420518092E-3</v>
      </c>
      <c r="F43" s="53">
        <v>0.19</v>
      </c>
      <c r="G43" s="3" t="s">
        <v>40</v>
      </c>
      <c r="K43" s="58"/>
    </row>
    <row r="44" spans="1:11">
      <c r="A44" s="3" t="s">
        <v>90</v>
      </c>
      <c r="B44" s="3">
        <v>324.8719688074687</v>
      </c>
      <c r="C44" s="53">
        <v>0</v>
      </c>
      <c r="D44" s="53">
        <f t="shared" si="0"/>
        <v>4.4999999999999998E-2</v>
      </c>
      <c r="E44" s="53">
        <v>0</v>
      </c>
      <c r="F44" s="53">
        <v>0.22</v>
      </c>
      <c r="G44" s="3" t="s">
        <v>42</v>
      </c>
      <c r="K44" s="58"/>
    </row>
    <row r="45" spans="1:11">
      <c r="A45" s="3" t="s">
        <v>91</v>
      </c>
      <c r="B45" s="3">
        <v>75.931656814656961</v>
      </c>
      <c r="C45" s="53">
        <v>4.4005045871559637E-2</v>
      </c>
      <c r="D45" s="53">
        <f t="shared" si="0"/>
        <v>9.7599024852310853E-2</v>
      </c>
      <c r="E45" s="53">
        <v>5.2599024852310855E-2</v>
      </c>
      <c r="F45" s="53">
        <v>0.27</v>
      </c>
      <c r="G45" s="3" t="s">
        <v>49</v>
      </c>
      <c r="K45" s="58"/>
    </row>
    <row r="46" spans="1:11">
      <c r="A46" s="3" t="s">
        <v>92</v>
      </c>
      <c r="B46" s="3">
        <v>103.056619</v>
      </c>
      <c r="C46" s="53">
        <v>0.12238004587155965</v>
      </c>
      <c r="D46" s="53">
        <f t="shared" si="0"/>
        <v>0.19128029460560964</v>
      </c>
      <c r="E46" s="53">
        <v>0.14628029460560965</v>
      </c>
      <c r="F46" s="53">
        <v>0.25</v>
      </c>
      <c r="G46" s="3" t="s">
        <v>46</v>
      </c>
      <c r="K46" s="58"/>
    </row>
    <row r="47" spans="1:11">
      <c r="A47" s="3" t="s">
        <v>93</v>
      </c>
      <c r="B47" s="3">
        <v>235.37</v>
      </c>
      <c r="C47" s="53">
        <v>6.7301834862385335E-2</v>
      </c>
      <c r="D47" s="53">
        <f t="shared" si="0"/>
        <v>0.15466724789468733</v>
      </c>
      <c r="E47" s="53">
        <v>0.10966724789468733</v>
      </c>
      <c r="F47" s="53">
        <v>0.22500000000000001</v>
      </c>
      <c r="G47" s="3" t="s">
        <v>44</v>
      </c>
      <c r="K47" s="58"/>
    </row>
    <row r="48" spans="1:11">
      <c r="A48" s="3" t="s">
        <v>94</v>
      </c>
      <c r="B48" s="3">
        <v>24.805439600000003</v>
      </c>
      <c r="C48" s="53">
        <v>0.12238004587155965</v>
      </c>
      <c r="D48" s="53">
        <f t="shared" si="0"/>
        <v>0.19128029460560964</v>
      </c>
      <c r="E48" s="53">
        <v>0.14628029460560965</v>
      </c>
      <c r="F48" s="53">
        <v>0.3</v>
      </c>
      <c r="G48" s="3" t="s">
        <v>46</v>
      </c>
      <c r="K48" s="58"/>
    </row>
    <row r="49" spans="1:11">
      <c r="A49" s="3" t="s">
        <v>95</v>
      </c>
      <c r="B49" s="3">
        <v>25.92107961233366</v>
      </c>
      <c r="C49" s="53">
        <v>8.6284403669724778E-3</v>
      </c>
      <c r="D49" s="53">
        <f t="shared" si="0"/>
        <v>5.5313534284766833E-2</v>
      </c>
      <c r="E49" s="53">
        <v>1.0313534284766834E-2</v>
      </c>
      <c r="F49" s="53">
        <v>0.2</v>
      </c>
      <c r="G49" s="3" t="s">
        <v>40</v>
      </c>
      <c r="K49" s="58"/>
    </row>
    <row r="50" spans="1:11">
      <c r="A50" s="3" t="s">
        <v>96</v>
      </c>
      <c r="B50" s="3">
        <v>80.561496133917188</v>
      </c>
      <c r="C50" s="53">
        <v>0.11015642201834862</v>
      </c>
      <c r="D50" s="53">
        <f t="shared" si="0"/>
        <v>0.17666945436885656</v>
      </c>
      <c r="E50" s="53">
        <v>0.13166945436885658</v>
      </c>
      <c r="F50" s="53">
        <v>0.3</v>
      </c>
      <c r="G50" s="3" t="s">
        <v>44</v>
      </c>
      <c r="K50" s="58"/>
    </row>
    <row r="51" spans="1:11">
      <c r="A51" s="3" t="s">
        <v>97</v>
      </c>
      <c r="B51" s="3">
        <v>5.0612027674294833</v>
      </c>
      <c r="C51" s="53">
        <v>5.5078211009174309E-2</v>
      </c>
      <c r="D51" s="53">
        <f t="shared" si="0"/>
        <v>0.11083472718442829</v>
      </c>
      <c r="E51" s="53">
        <v>6.5834727184428288E-2</v>
      </c>
      <c r="F51" s="53">
        <v>0.2</v>
      </c>
      <c r="G51" s="3" t="s">
        <v>57</v>
      </c>
      <c r="K51" s="58"/>
    </row>
    <row r="52" spans="1:11">
      <c r="A52" s="3" t="s">
        <v>98</v>
      </c>
      <c r="B52" s="3">
        <v>251.88488797276599</v>
      </c>
      <c r="C52" s="53">
        <v>4.8894495412844033E-3</v>
      </c>
      <c r="D52" s="53">
        <f t="shared" si="0"/>
        <v>5.0844336094701202E-2</v>
      </c>
      <c r="E52" s="53">
        <v>5.8443360947012038E-3</v>
      </c>
      <c r="F52" s="53">
        <v>0.2</v>
      </c>
      <c r="G52" s="3" t="s">
        <v>42</v>
      </c>
      <c r="K52" s="58"/>
    </row>
    <row r="53" spans="1:11">
      <c r="A53" s="3" t="s">
        <v>99</v>
      </c>
      <c r="B53" s="3">
        <v>2582.5013072164156</v>
      </c>
      <c r="C53" s="53">
        <v>6.0399082568807346E-3</v>
      </c>
      <c r="D53" s="53">
        <f t="shared" si="0"/>
        <v>5.2219473999336782E-2</v>
      </c>
      <c r="E53" s="53">
        <v>7.219473999336784E-3</v>
      </c>
      <c r="F53" s="53">
        <v>0.25</v>
      </c>
      <c r="G53" s="3" t="s">
        <v>42</v>
      </c>
      <c r="K53" s="58"/>
    </row>
    <row r="54" spans="1:11">
      <c r="A54" s="3" t="s">
        <v>100</v>
      </c>
      <c r="B54" s="3">
        <v>14.622880885684218</v>
      </c>
      <c r="C54" s="53">
        <v>9.1749082568807344E-2</v>
      </c>
      <c r="D54" s="53">
        <f t="shared" si="0"/>
        <v>0.15466724789468733</v>
      </c>
      <c r="E54" s="53">
        <v>0.10966724789468733</v>
      </c>
      <c r="F54" s="53">
        <v>0.3</v>
      </c>
      <c r="G54" s="3" t="s">
        <v>44</v>
      </c>
      <c r="K54" s="58"/>
    </row>
    <row r="55" spans="1:11">
      <c r="A55" s="3" t="s">
        <v>101</v>
      </c>
      <c r="B55" s="3">
        <v>15.159281211396696</v>
      </c>
      <c r="C55" s="53">
        <v>3.6814678899082569E-2</v>
      </c>
      <c r="D55" s="53">
        <f t="shared" si="0"/>
        <v>8.9004412948338496E-2</v>
      </c>
      <c r="E55" s="53">
        <v>4.4004412948338498E-2</v>
      </c>
      <c r="F55" s="53">
        <v>0.15</v>
      </c>
      <c r="G55" s="3" t="s">
        <v>40</v>
      </c>
      <c r="K55" s="58"/>
    </row>
    <row r="56" spans="1:11">
      <c r="A56" s="3" t="s">
        <v>102</v>
      </c>
      <c r="B56" s="3">
        <v>3677.4391297766028</v>
      </c>
      <c r="C56" s="53">
        <v>0</v>
      </c>
      <c r="D56" s="53">
        <f t="shared" si="0"/>
        <v>4.4999999999999998E-2</v>
      </c>
      <c r="E56" s="53">
        <v>0</v>
      </c>
      <c r="F56" s="53">
        <v>0.3</v>
      </c>
      <c r="G56" s="3" t="s">
        <v>42</v>
      </c>
      <c r="K56" s="58"/>
    </row>
    <row r="57" spans="1:11">
      <c r="A57" s="3" t="s">
        <v>103</v>
      </c>
      <c r="B57" s="3">
        <v>47.330016342573444</v>
      </c>
      <c r="C57" s="53">
        <v>0.14682729357798166</v>
      </c>
      <c r="D57" s="53">
        <f t="shared" si="0"/>
        <v>0.19128029460560964</v>
      </c>
      <c r="E57" s="53">
        <v>0.14628029460560965</v>
      </c>
      <c r="F57" s="53">
        <v>0.25</v>
      </c>
      <c r="G57" s="3" t="s">
        <v>44</v>
      </c>
      <c r="K57" s="58"/>
    </row>
    <row r="58" spans="1:11">
      <c r="A58" s="3" t="s">
        <v>104</v>
      </c>
      <c r="B58" s="3">
        <v>200.28827712903825</v>
      </c>
      <c r="C58" s="53">
        <v>4.4005045871559637E-2</v>
      </c>
      <c r="D58" s="53">
        <f t="shared" si="0"/>
        <v>8.161304671092226E-2</v>
      </c>
      <c r="E58" s="53">
        <v>3.6613046710922262E-2</v>
      </c>
      <c r="F58" s="53">
        <v>0.22</v>
      </c>
      <c r="G58" s="3" t="s">
        <v>42</v>
      </c>
      <c r="K58" s="58"/>
    </row>
    <row r="59" spans="1:11">
      <c r="A59" s="3" t="s">
        <v>105</v>
      </c>
      <c r="B59" s="3">
        <v>75.620095537500504</v>
      </c>
      <c r="C59" s="53">
        <v>3.0630963302752296E-2</v>
      </c>
      <c r="D59" s="53">
        <f t="shared" si="0"/>
        <v>8.161304671092226E-2</v>
      </c>
      <c r="E59" s="53">
        <v>3.6613046710922262E-2</v>
      </c>
      <c r="F59" s="53">
        <v>0.25</v>
      </c>
      <c r="G59" s="3" t="s">
        <v>46</v>
      </c>
      <c r="K59" s="58"/>
    </row>
    <row r="60" spans="1:11">
      <c r="A60" s="3" t="s">
        <v>106</v>
      </c>
      <c r="B60" s="3">
        <v>0.5</v>
      </c>
      <c r="C60" s="53">
        <v>0</v>
      </c>
      <c r="D60" s="53">
        <f t="shared" si="0"/>
        <v>5.5313534284766833E-2</v>
      </c>
      <c r="E60" s="53">
        <v>1.0313534284766834E-2</v>
      </c>
      <c r="F60" s="53">
        <v>0</v>
      </c>
      <c r="G60" s="3" t="s">
        <v>42</v>
      </c>
      <c r="K60" s="58"/>
    </row>
    <row r="61" spans="1:11">
      <c r="A61" s="3" t="s">
        <v>107</v>
      </c>
      <c r="B61" s="3">
        <v>22.97853289678163</v>
      </c>
      <c r="C61" s="53">
        <v>5.5078211009174309E-2</v>
      </c>
      <c r="D61" s="53">
        <f t="shared" si="0"/>
        <v>0.11083472718442829</v>
      </c>
      <c r="E61" s="53">
        <v>6.5834727184428288E-2</v>
      </c>
      <c r="F61" s="53">
        <v>0.25</v>
      </c>
      <c r="G61" s="3" t="s">
        <v>46</v>
      </c>
      <c r="K61" s="58"/>
    </row>
    <row r="62" spans="1:11">
      <c r="A62" s="3" t="s">
        <v>108</v>
      </c>
      <c r="B62" s="3">
        <v>341.45</v>
      </c>
      <c r="C62" s="53">
        <v>7.3341743119266058E-3</v>
      </c>
      <c r="D62" s="53">
        <f t="shared" si="0"/>
        <v>5.3766504142051808E-2</v>
      </c>
      <c r="E62" s="53">
        <v>8.7665041420518092E-3</v>
      </c>
      <c r="F62" s="53">
        <v>0.16500000000000001</v>
      </c>
      <c r="G62" s="3" t="s">
        <v>57</v>
      </c>
      <c r="K62" s="58"/>
    </row>
    <row r="63" spans="1:11">
      <c r="A63" s="3" t="s">
        <v>109</v>
      </c>
      <c r="B63" s="3">
        <v>139.13502975828999</v>
      </c>
      <c r="C63" s="53">
        <v>2.3296788990825688E-2</v>
      </c>
      <c r="D63" s="53">
        <f t="shared" si="0"/>
        <v>7.2846542568870451E-2</v>
      </c>
      <c r="E63" s="53">
        <v>2.7846542568870453E-2</v>
      </c>
      <c r="F63" s="53">
        <v>0.09</v>
      </c>
      <c r="G63" s="3" t="s">
        <v>40</v>
      </c>
      <c r="K63" s="58"/>
    </row>
    <row r="64" spans="1:11">
      <c r="A64" s="3" t="s">
        <v>110</v>
      </c>
      <c r="B64" s="3">
        <v>23.909289978586099</v>
      </c>
      <c r="C64" s="53">
        <v>1.0354128440366973E-2</v>
      </c>
      <c r="D64" s="53">
        <f t="shared" si="0"/>
        <v>5.73762411417202E-2</v>
      </c>
      <c r="E64" s="53">
        <v>1.2376241141720201E-2</v>
      </c>
      <c r="F64" s="53">
        <v>0.2</v>
      </c>
      <c r="G64" s="3" t="s">
        <v>42</v>
      </c>
      <c r="K64" s="58"/>
    </row>
    <row r="65" spans="1:11">
      <c r="A65" s="3" t="s">
        <v>111</v>
      </c>
      <c r="B65" s="3">
        <v>2597.4911628976711</v>
      </c>
      <c r="C65" s="53">
        <v>2.6891972477064225E-2</v>
      </c>
      <c r="D65" s="53">
        <f t="shared" si="0"/>
        <v>7.7143848520856623E-2</v>
      </c>
      <c r="E65" s="53">
        <v>3.2143848520856624E-2</v>
      </c>
      <c r="F65" s="53">
        <v>0.3</v>
      </c>
      <c r="G65" s="3" t="s">
        <v>57</v>
      </c>
      <c r="K65" s="58"/>
    </row>
    <row r="66" spans="1:11">
      <c r="A66" s="3" t="s">
        <v>112</v>
      </c>
      <c r="B66" s="3">
        <v>1015.5390175365033</v>
      </c>
      <c r="C66" s="53">
        <v>2.3296788990825688E-2</v>
      </c>
      <c r="D66" s="53">
        <f t="shared" si="0"/>
        <v>7.2846542568870451E-2</v>
      </c>
      <c r="E66" s="53">
        <v>2.7846542568870453E-2</v>
      </c>
      <c r="F66" s="53">
        <v>0.22</v>
      </c>
      <c r="G66" s="3" t="s">
        <v>57</v>
      </c>
      <c r="K66" s="58"/>
    </row>
    <row r="67" spans="1:11">
      <c r="A67" s="3" t="s">
        <v>113</v>
      </c>
      <c r="B67" s="3">
        <v>197.71573604060913</v>
      </c>
      <c r="C67" s="53">
        <v>9.1749082568807344E-2</v>
      </c>
      <c r="D67" s="53">
        <f t="shared" si="0"/>
        <v>0.15466724789468733</v>
      </c>
      <c r="E67" s="53">
        <v>0.10966724789468733</v>
      </c>
      <c r="F67" s="53">
        <v>0.15</v>
      </c>
      <c r="G67" s="3" t="s">
        <v>38</v>
      </c>
      <c r="K67" s="58"/>
    </row>
    <row r="68" spans="1:11">
      <c r="A68" s="3" t="s">
        <v>114</v>
      </c>
      <c r="B68" s="3">
        <v>333.73076477318006</v>
      </c>
      <c r="C68" s="53">
        <v>8.6284403669724778E-3</v>
      </c>
      <c r="D68" s="53">
        <f t="shared" ref="D68:D131" si="1">$D$148+E68</f>
        <v>5.3766504142051808E-2</v>
      </c>
      <c r="E68" s="53">
        <v>8.7665041420518092E-3</v>
      </c>
      <c r="F68" s="53">
        <v>0.125</v>
      </c>
      <c r="G68" s="3" t="s">
        <v>42</v>
      </c>
      <c r="K68" s="58"/>
    </row>
    <row r="69" spans="1:11">
      <c r="A69" s="3" t="s">
        <v>115</v>
      </c>
      <c r="B69" s="3">
        <v>7.4</v>
      </c>
      <c r="C69" s="53">
        <v>7.3341743119266058E-3</v>
      </c>
      <c r="D69" s="53">
        <f t="shared" si="1"/>
        <v>5.3766504142051808E-2</v>
      </c>
      <c r="E69" s="53">
        <v>8.7665041420518092E-3</v>
      </c>
      <c r="F69" s="53">
        <v>0</v>
      </c>
      <c r="G69" s="3" t="s">
        <v>42</v>
      </c>
      <c r="K69" s="58"/>
    </row>
    <row r="70" spans="1:11">
      <c r="A70" s="3" t="s">
        <v>116</v>
      </c>
      <c r="B70" s="3">
        <v>350.85053782728062</v>
      </c>
      <c r="C70" s="53">
        <v>8.6284403669724778E-3</v>
      </c>
      <c r="D70" s="53">
        <f t="shared" si="1"/>
        <v>5.5313534284766833E-2</v>
      </c>
      <c r="E70" s="53">
        <v>1.0313534284766834E-2</v>
      </c>
      <c r="F70" s="53">
        <v>0.23</v>
      </c>
      <c r="G70" s="3" t="s">
        <v>38</v>
      </c>
      <c r="K70" s="58"/>
    </row>
    <row r="71" spans="1:11">
      <c r="A71" s="3" t="s">
        <v>117</v>
      </c>
      <c r="B71" s="3">
        <v>1934.7979374113268</v>
      </c>
      <c r="C71" s="53">
        <v>2.6891972477064225E-2</v>
      </c>
      <c r="D71" s="53">
        <f t="shared" si="1"/>
        <v>7.7143848520856623E-2</v>
      </c>
      <c r="E71" s="53">
        <v>3.2143848520856624E-2</v>
      </c>
      <c r="F71" s="53">
        <v>0.24</v>
      </c>
      <c r="G71" s="3" t="s">
        <v>42</v>
      </c>
      <c r="K71" s="58"/>
    </row>
    <row r="72" spans="1:11">
      <c r="A72" s="3" t="s">
        <v>118</v>
      </c>
      <c r="B72" s="3">
        <v>14.768134912417116</v>
      </c>
      <c r="C72" s="53">
        <v>6.7301834862385335E-2</v>
      </c>
      <c r="D72" s="53">
        <f t="shared" si="1"/>
        <v>0.11083472718442829</v>
      </c>
      <c r="E72" s="53">
        <v>6.5834727184428288E-2</v>
      </c>
      <c r="F72" s="53">
        <v>0.25</v>
      </c>
      <c r="G72" s="3" t="s">
        <v>49</v>
      </c>
      <c r="K72" s="58"/>
    </row>
    <row r="73" spans="1:11">
      <c r="A73" s="3" t="s">
        <v>119</v>
      </c>
      <c r="B73" s="3">
        <v>4872.1369455075865</v>
      </c>
      <c r="C73" s="53">
        <v>8.6284403669724778E-3</v>
      </c>
      <c r="D73" s="53">
        <f t="shared" si="1"/>
        <v>5.5313534284766833E-2</v>
      </c>
      <c r="E73" s="53">
        <v>1.0313534284766834E-2</v>
      </c>
      <c r="F73" s="53">
        <v>0.23200000000000001</v>
      </c>
      <c r="G73" s="3" t="s">
        <v>57</v>
      </c>
      <c r="K73" s="58"/>
    </row>
    <row r="74" spans="1:11">
      <c r="A74" s="3" t="s">
        <v>120</v>
      </c>
      <c r="B74" s="3">
        <v>1</v>
      </c>
      <c r="C74" s="53">
        <v>0</v>
      </c>
      <c r="D74" s="53">
        <f t="shared" si="1"/>
        <v>5.3766504142051808E-2</v>
      </c>
      <c r="E74" s="53">
        <v>8.7665041420518092E-3</v>
      </c>
      <c r="F74" s="53">
        <v>0</v>
      </c>
      <c r="G74" s="3" t="s">
        <v>42</v>
      </c>
      <c r="K74" s="58"/>
    </row>
    <row r="75" spans="1:11">
      <c r="A75" s="3" t="s">
        <v>121</v>
      </c>
      <c r="B75" s="3">
        <v>40.068308516275501</v>
      </c>
      <c r="C75" s="53">
        <v>5.5078211009174309E-2</v>
      </c>
      <c r="D75" s="53">
        <f t="shared" si="1"/>
        <v>0.11083472718442829</v>
      </c>
      <c r="E75" s="53">
        <v>6.5834727184428288E-2</v>
      </c>
      <c r="F75" s="53">
        <v>0.2</v>
      </c>
      <c r="G75" s="3" t="s">
        <v>38</v>
      </c>
      <c r="K75" s="58"/>
    </row>
    <row r="76" spans="1:11">
      <c r="A76" s="3" t="s">
        <v>122</v>
      </c>
      <c r="B76" s="3">
        <v>159.4069263591216</v>
      </c>
      <c r="C76" s="53">
        <v>2.3296788990825688E-2</v>
      </c>
      <c r="D76" s="53">
        <f t="shared" si="1"/>
        <v>7.2846542568870451E-2</v>
      </c>
      <c r="E76" s="53">
        <v>2.7846542568870453E-2</v>
      </c>
      <c r="F76" s="53">
        <v>0.2</v>
      </c>
      <c r="G76" s="3" t="s">
        <v>40</v>
      </c>
      <c r="K76" s="58"/>
    </row>
    <row r="77" spans="1:11">
      <c r="A77" s="3" t="s">
        <v>123</v>
      </c>
      <c r="B77" s="3">
        <v>74.938190654855816</v>
      </c>
      <c r="C77" s="53">
        <v>6.7301834862385335E-2</v>
      </c>
      <c r="D77" s="53">
        <f t="shared" si="1"/>
        <v>0.14005640765793431</v>
      </c>
      <c r="E77" s="53">
        <v>9.5056407657934314E-2</v>
      </c>
      <c r="F77" s="53">
        <v>0.3</v>
      </c>
      <c r="G77" s="3" t="s">
        <v>44</v>
      </c>
      <c r="K77" s="58"/>
    </row>
    <row r="78" spans="1:11">
      <c r="A78" s="3" t="s">
        <v>124</v>
      </c>
      <c r="B78" s="3">
        <v>1530.75</v>
      </c>
      <c r="C78" s="53">
        <v>6.0399082568807346E-3</v>
      </c>
      <c r="D78" s="53">
        <f t="shared" si="1"/>
        <v>0.27992692770782934</v>
      </c>
      <c r="E78" s="53">
        <v>0.23492692770782936</v>
      </c>
      <c r="F78" s="53">
        <v>0.25</v>
      </c>
      <c r="G78" s="3" t="s">
        <v>57</v>
      </c>
      <c r="K78" s="58"/>
    </row>
    <row r="79" spans="1:11">
      <c r="A79" s="3" t="s">
        <v>125</v>
      </c>
      <c r="B79" s="3">
        <v>120.12627761292451</v>
      </c>
      <c r="C79" s="53">
        <v>8.6284403669724778E-3</v>
      </c>
      <c r="D79" s="53">
        <f t="shared" si="1"/>
        <v>5.5313534284766833E-2</v>
      </c>
      <c r="E79" s="53">
        <v>1.0313534284766834E-2</v>
      </c>
      <c r="F79" s="53">
        <v>0.15</v>
      </c>
      <c r="G79" s="3" t="s">
        <v>38</v>
      </c>
      <c r="K79" s="58"/>
    </row>
    <row r="80" spans="1:11">
      <c r="A80" s="3" t="s">
        <v>126</v>
      </c>
      <c r="B80" s="3">
        <v>7.5647388360412213</v>
      </c>
      <c r="C80" s="53">
        <v>7.9525458715596339E-2</v>
      </c>
      <c r="D80" s="53">
        <f t="shared" si="1"/>
        <v>0.14005640765793431</v>
      </c>
      <c r="E80" s="53">
        <v>9.5056407657934314E-2</v>
      </c>
      <c r="F80" s="53">
        <v>0.1</v>
      </c>
      <c r="G80" s="3" t="s">
        <v>40</v>
      </c>
      <c r="K80" s="58"/>
    </row>
    <row r="81" spans="1:11">
      <c r="A81" s="3" t="s">
        <v>127</v>
      </c>
      <c r="B81" s="3">
        <v>30.264454641800356</v>
      </c>
      <c r="C81" s="53">
        <v>1.4668348623853212E-2</v>
      </c>
      <c r="D81" s="53">
        <f t="shared" si="1"/>
        <v>6.2533008284103617E-2</v>
      </c>
      <c r="E81" s="53">
        <v>1.7533008284103618E-2</v>
      </c>
      <c r="F81" s="53">
        <v>0.2</v>
      </c>
      <c r="G81" s="3" t="s">
        <v>40</v>
      </c>
      <c r="K81" s="58"/>
    </row>
    <row r="82" spans="1:11">
      <c r="A82" s="3" t="s">
        <v>128</v>
      </c>
      <c r="B82" s="3">
        <v>51.844487742023212</v>
      </c>
      <c r="C82" s="53">
        <v>0.17499999999999999</v>
      </c>
      <c r="D82" s="53">
        <f t="shared" si="1"/>
        <v>0.27992692770782934</v>
      </c>
      <c r="E82" s="53">
        <v>0.23492692770782936</v>
      </c>
      <c r="F82" s="53">
        <v>0.17</v>
      </c>
      <c r="G82" s="3" t="s">
        <v>38</v>
      </c>
      <c r="K82" s="58"/>
    </row>
    <row r="83" spans="1:11">
      <c r="A83" s="3" t="s">
        <v>129</v>
      </c>
      <c r="B83" s="3">
        <v>6.7</v>
      </c>
      <c r="C83" s="53">
        <v>0</v>
      </c>
      <c r="D83" s="53">
        <f t="shared" si="1"/>
        <v>4.4999999999999998E-2</v>
      </c>
      <c r="E83" s="53">
        <v>0</v>
      </c>
      <c r="F83" s="53">
        <v>0.125</v>
      </c>
      <c r="G83" s="3" t="s">
        <v>42</v>
      </c>
      <c r="K83" s="58"/>
    </row>
    <row r="84" spans="1:11">
      <c r="A84" s="3" t="s">
        <v>130</v>
      </c>
      <c r="B84" s="3">
        <v>47.168303744132935</v>
      </c>
      <c r="C84" s="53">
        <v>1.0354128440366973E-2</v>
      </c>
      <c r="D84" s="53">
        <f t="shared" si="1"/>
        <v>5.73762411417202E-2</v>
      </c>
      <c r="E84" s="53">
        <v>1.2376241141720201E-2</v>
      </c>
      <c r="F84" s="53">
        <v>0.15</v>
      </c>
      <c r="G84" s="3" t="s">
        <v>40</v>
      </c>
      <c r="K84" s="58"/>
    </row>
    <row r="85" spans="1:11">
      <c r="A85" s="3" t="s">
        <v>131</v>
      </c>
      <c r="B85" s="3">
        <v>62.404461274663575</v>
      </c>
      <c r="C85" s="53">
        <v>0</v>
      </c>
      <c r="D85" s="53">
        <f t="shared" si="1"/>
        <v>4.4999999999999998E-2</v>
      </c>
      <c r="E85" s="53">
        <v>0</v>
      </c>
      <c r="F85" s="53">
        <v>0.24940000000000001</v>
      </c>
      <c r="G85" s="3" t="s">
        <v>42</v>
      </c>
      <c r="K85" s="58"/>
    </row>
    <row r="86" spans="1:11">
      <c r="A86" s="3" t="s">
        <v>132</v>
      </c>
      <c r="B86" s="3">
        <v>62.404461274663575</v>
      </c>
      <c r="C86" s="53">
        <v>7.3341743119266058E-3</v>
      </c>
      <c r="D86" s="53">
        <f t="shared" si="1"/>
        <v>5.3766504142051808E-2</v>
      </c>
      <c r="E86" s="53">
        <v>8.7665041420518092E-3</v>
      </c>
      <c r="F86" s="53">
        <v>0.12</v>
      </c>
      <c r="G86" s="3" t="s">
        <v>57</v>
      </c>
      <c r="K86" s="58"/>
    </row>
    <row r="87" spans="1:11">
      <c r="A87" s="3" t="s">
        <v>133</v>
      </c>
      <c r="B87" s="3">
        <v>50.361201096436588</v>
      </c>
      <c r="C87" s="53">
        <v>4.4005045871559637E-2</v>
      </c>
      <c r="D87" s="53">
        <f t="shared" si="1"/>
        <v>9.7599024852310853E-2</v>
      </c>
      <c r="E87" s="53">
        <v>5.2599024852310855E-2</v>
      </c>
      <c r="F87" s="53">
        <v>0.1</v>
      </c>
      <c r="G87" s="3" t="s">
        <v>40</v>
      </c>
      <c r="K87" s="58"/>
    </row>
    <row r="88" spans="1:11">
      <c r="A88" s="3" t="s">
        <v>134</v>
      </c>
      <c r="B88" s="3">
        <v>314.50027904380988</v>
      </c>
      <c r="C88" s="53">
        <v>1.4668348623853212E-2</v>
      </c>
      <c r="D88" s="53">
        <f t="shared" si="1"/>
        <v>6.2533008284103617E-2</v>
      </c>
      <c r="E88" s="53">
        <v>1.7533008284103618E-2</v>
      </c>
      <c r="F88" s="53">
        <v>0.24</v>
      </c>
      <c r="G88" s="3" t="s">
        <v>57</v>
      </c>
      <c r="K88" s="58"/>
    </row>
    <row r="89" spans="1:11">
      <c r="A89" s="3" t="s">
        <v>607</v>
      </c>
      <c r="B89" s="3">
        <v>4.5970833035069338</v>
      </c>
      <c r="C89" s="53">
        <v>9.1749082568807344E-2</v>
      </c>
      <c r="D89" s="53">
        <f t="shared" si="1"/>
        <v>0.15466724789468733</v>
      </c>
      <c r="E89" s="53">
        <v>0.10966724789468733</v>
      </c>
      <c r="F89" s="53"/>
      <c r="G89" s="3" t="s">
        <v>57</v>
      </c>
      <c r="K89" s="58"/>
    </row>
    <row r="90" spans="1:11">
      <c r="A90" s="3" t="s">
        <v>135</v>
      </c>
      <c r="B90" s="3">
        <v>12.5377507324769</v>
      </c>
      <c r="C90" s="53">
        <v>1.0354128440366973E-2</v>
      </c>
      <c r="D90" s="53">
        <f t="shared" si="1"/>
        <v>5.73762411417202E-2</v>
      </c>
      <c r="E90" s="53">
        <v>1.2376241141720201E-2</v>
      </c>
      <c r="F90" s="53">
        <v>0.35</v>
      </c>
      <c r="G90" s="3" t="s">
        <v>42</v>
      </c>
      <c r="K90" s="58"/>
    </row>
    <row r="91" spans="1:11">
      <c r="A91" s="3" t="s">
        <v>136</v>
      </c>
      <c r="B91" s="3">
        <v>13.338147523012408</v>
      </c>
      <c r="C91" s="53">
        <v>2.6891972477064225E-2</v>
      </c>
      <c r="D91" s="53">
        <f t="shared" si="1"/>
        <v>7.7143848520856623E-2</v>
      </c>
      <c r="E91" s="53">
        <v>3.2143848520856624E-2</v>
      </c>
      <c r="F91" s="53">
        <v>0.15</v>
      </c>
      <c r="G91" s="3" t="s">
        <v>57</v>
      </c>
      <c r="K91" s="58"/>
    </row>
    <row r="92" spans="1:11">
      <c r="A92" s="3" t="s">
        <v>137</v>
      </c>
      <c r="B92" s="3">
        <v>1149.9187947657313</v>
      </c>
      <c r="C92" s="53">
        <v>2.3296788990825688E-2</v>
      </c>
      <c r="D92" s="53">
        <f t="shared" si="1"/>
        <v>7.2846542568870451E-2</v>
      </c>
      <c r="E92" s="53">
        <v>2.7846542568870453E-2</v>
      </c>
      <c r="F92" s="53">
        <v>0.3</v>
      </c>
      <c r="G92" s="3" t="s">
        <v>46</v>
      </c>
      <c r="K92" s="58"/>
    </row>
    <row r="93" spans="1:11">
      <c r="A93" s="3" t="s">
        <v>138</v>
      </c>
      <c r="B93" s="3">
        <v>8.1284934320774092</v>
      </c>
      <c r="C93" s="53">
        <v>7.9525458715596339E-2</v>
      </c>
      <c r="D93" s="53">
        <f t="shared" si="1"/>
        <v>0.14005640765793431</v>
      </c>
      <c r="E93" s="53">
        <v>9.5056407657934314E-2</v>
      </c>
      <c r="F93" s="53">
        <v>0.12</v>
      </c>
      <c r="G93" s="3" t="s">
        <v>40</v>
      </c>
      <c r="K93" s="58"/>
    </row>
    <row r="94" spans="1:11">
      <c r="A94" s="3" t="s">
        <v>139</v>
      </c>
      <c r="B94" s="3">
        <v>11.48804688104307</v>
      </c>
      <c r="C94" s="53">
        <v>7.9525458715596339E-2</v>
      </c>
      <c r="D94" s="53">
        <f t="shared" si="1"/>
        <v>0.14005640765793431</v>
      </c>
      <c r="E94" s="53">
        <v>9.5056407657934314E-2</v>
      </c>
      <c r="F94" s="53">
        <v>0.25</v>
      </c>
      <c r="G94" s="3" t="s">
        <v>57</v>
      </c>
      <c r="K94" s="58"/>
    </row>
    <row r="95" spans="1:11">
      <c r="A95" s="3" t="s">
        <v>140</v>
      </c>
      <c r="B95" s="3">
        <v>4.7740860942077994</v>
      </c>
      <c r="C95" s="53">
        <v>5.5078211009174309E-2</v>
      </c>
      <c r="D95" s="53">
        <f t="shared" si="1"/>
        <v>0.11083472718442829</v>
      </c>
      <c r="E95" s="53">
        <v>6.5834727184428288E-2</v>
      </c>
      <c r="F95" s="53">
        <v>0.15</v>
      </c>
      <c r="G95" s="3" t="s">
        <v>40</v>
      </c>
      <c r="K95" s="58"/>
    </row>
    <row r="96" spans="1:11">
      <c r="A96" s="3" t="s">
        <v>141</v>
      </c>
      <c r="B96" s="3">
        <v>1.5</v>
      </c>
      <c r="C96" s="53">
        <v>2.6891972477064225E-2</v>
      </c>
      <c r="D96" s="53">
        <f t="shared" si="1"/>
        <v>7.7143848520856623E-2</v>
      </c>
      <c r="E96" s="53">
        <v>3.2143848520856624E-2</v>
      </c>
      <c r="F96" s="53"/>
      <c r="G96" s="3" t="s">
        <v>49</v>
      </c>
      <c r="K96" s="58"/>
    </row>
    <row r="97" spans="1:11">
      <c r="A97" s="3" t="s">
        <v>142</v>
      </c>
      <c r="B97" s="3">
        <v>109.13948400742879</v>
      </c>
      <c r="C97" s="53">
        <v>3.0630963302752296E-2</v>
      </c>
      <c r="D97" s="53">
        <f t="shared" si="1"/>
        <v>8.161304671092226E-2</v>
      </c>
      <c r="E97" s="53">
        <v>3.6613046710922262E-2</v>
      </c>
      <c r="F97" s="53">
        <v>0.31</v>
      </c>
      <c r="G97" s="3" t="s">
        <v>44</v>
      </c>
      <c r="K97" s="58"/>
    </row>
    <row r="98" spans="1:11">
      <c r="A98" s="3" t="s">
        <v>143</v>
      </c>
      <c r="B98" s="3">
        <v>12.333859926276988</v>
      </c>
      <c r="C98" s="53">
        <v>0.11015642201834862</v>
      </c>
      <c r="D98" s="53">
        <f t="shared" si="1"/>
        <v>0.17666945436885656</v>
      </c>
      <c r="E98" s="53">
        <v>0.13166945436885658</v>
      </c>
      <c r="F98" s="53">
        <v>0.32</v>
      </c>
      <c r="G98" s="3" t="s">
        <v>44</v>
      </c>
      <c r="K98" s="58"/>
    </row>
    <row r="99" spans="1:11">
      <c r="A99" s="3" t="s">
        <v>144</v>
      </c>
      <c r="B99" s="3">
        <v>13.244597345431874</v>
      </c>
      <c r="C99" s="53">
        <v>5.5078211009174309E-2</v>
      </c>
      <c r="D99" s="53">
        <f t="shared" si="1"/>
        <v>0.11083472718442829</v>
      </c>
      <c r="E99" s="53">
        <v>6.5834727184428288E-2</v>
      </c>
      <c r="F99" s="53">
        <v>0.32</v>
      </c>
      <c r="G99" s="3" t="s">
        <v>44</v>
      </c>
      <c r="K99" s="58"/>
    </row>
    <row r="100" spans="1:11">
      <c r="A100" s="3" t="s">
        <v>145</v>
      </c>
      <c r="B100" s="3">
        <v>826.20028250112694</v>
      </c>
      <c r="C100" s="53">
        <v>0</v>
      </c>
      <c r="D100" s="53">
        <f t="shared" si="1"/>
        <v>4.4999999999999998E-2</v>
      </c>
      <c r="E100" s="53">
        <v>0</v>
      </c>
      <c r="F100" s="53">
        <v>0.25800000000000001</v>
      </c>
      <c r="G100" s="3" t="s">
        <v>42</v>
      </c>
      <c r="K100" s="58"/>
    </row>
    <row r="101" spans="1:11">
      <c r="A101" s="3" t="s">
        <v>146</v>
      </c>
      <c r="B101" s="3">
        <v>205.85283825471217</v>
      </c>
      <c r="C101" s="53">
        <v>0</v>
      </c>
      <c r="D101" s="53">
        <f t="shared" si="1"/>
        <v>4.4999999999999998E-2</v>
      </c>
      <c r="E101" s="53">
        <v>0</v>
      </c>
      <c r="F101" s="53">
        <v>0.28000000000000003</v>
      </c>
      <c r="G101" s="3" t="s">
        <v>51</v>
      </c>
      <c r="K101" s="58"/>
    </row>
    <row r="102" spans="1:11">
      <c r="A102" s="3" t="s">
        <v>147</v>
      </c>
      <c r="B102" s="3">
        <v>13.814261535543384</v>
      </c>
      <c r="C102" s="53">
        <v>7.9525458715596339E-2</v>
      </c>
      <c r="D102" s="53">
        <f t="shared" si="1"/>
        <v>0.14005640765793431</v>
      </c>
      <c r="E102" s="53">
        <v>9.5056407657934314E-2</v>
      </c>
      <c r="F102" s="53">
        <v>0.3</v>
      </c>
      <c r="G102" s="3" t="s">
        <v>46</v>
      </c>
      <c r="K102" s="58"/>
    </row>
    <row r="103" spans="1:11">
      <c r="A103" s="3" t="s">
        <v>148</v>
      </c>
      <c r="B103" s="3">
        <v>375.77071374276341</v>
      </c>
      <c r="C103" s="53">
        <v>7.9525458715596339E-2</v>
      </c>
      <c r="D103" s="53">
        <f t="shared" si="1"/>
        <v>0.15466724789468733</v>
      </c>
      <c r="E103" s="53">
        <v>0.10966724789468733</v>
      </c>
      <c r="F103" s="53">
        <v>0.3</v>
      </c>
      <c r="G103" s="3" t="s">
        <v>44</v>
      </c>
      <c r="K103" s="58"/>
    </row>
    <row r="104" spans="1:11">
      <c r="A104" s="3" t="s">
        <v>149</v>
      </c>
      <c r="B104" s="3">
        <v>398.83195647793656</v>
      </c>
      <c r="C104" s="53">
        <v>0</v>
      </c>
      <c r="D104" s="53">
        <f t="shared" si="1"/>
        <v>4.4999999999999998E-2</v>
      </c>
      <c r="E104" s="53">
        <v>0</v>
      </c>
      <c r="F104" s="53">
        <v>0.22</v>
      </c>
      <c r="G104" s="3" t="s">
        <v>42</v>
      </c>
      <c r="K104" s="58"/>
    </row>
    <row r="105" spans="1:11">
      <c r="A105" s="3" t="s">
        <v>150</v>
      </c>
      <c r="B105" s="3">
        <v>72.642652795838742</v>
      </c>
      <c r="C105" s="53">
        <v>4.4005045871559637E-2</v>
      </c>
      <c r="D105" s="53">
        <f t="shared" si="1"/>
        <v>8.161304671092226E-2</v>
      </c>
      <c r="E105" s="53">
        <v>3.6613046710922262E-2</v>
      </c>
      <c r="F105" s="53">
        <v>0.15</v>
      </c>
      <c r="G105" s="3" t="s">
        <v>38</v>
      </c>
      <c r="K105" s="58"/>
    </row>
    <row r="106" spans="1:11">
      <c r="A106" s="3" t="s">
        <v>151</v>
      </c>
      <c r="B106" s="3">
        <v>304.95181849406555</v>
      </c>
      <c r="C106" s="53">
        <v>9.1749082568807344E-2</v>
      </c>
      <c r="D106" s="53">
        <f t="shared" si="1"/>
        <v>0.19128029460560964</v>
      </c>
      <c r="E106" s="53">
        <v>0.14628029460560965</v>
      </c>
      <c r="F106" s="53">
        <v>0.28999999999999998</v>
      </c>
      <c r="G106" s="3" t="s">
        <v>57</v>
      </c>
      <c r="K106" s="58"/>
    </row>
    <row r="107" spans="1:11">
      <c r="A107" s="3" t="s">
        <v>152</v>
      </c>
      <c r="B107" s="3">
        <v>61.838175799999995</v>
      </c>
      <c r="C107" s="53">
        <v>2.3296788990825688E-2</v>
      </c>
      <c r="D107" s="53">
        <f t="shared" si="1"/>
        <v>7.2846542568870451E-2</v>
      </c>
      <c r="E107" s="53">
        <v>2.7846542568870453E-2</v>
      </c>
      <c r="F107" s="53">
        <v>0.25</v>
      </c>
      <c r="G107" s="3" t="s">
        <v>46</v>
      </c>
      <c r="K107" s="58"/>
    </row>
    <row r="108" spans="1:11">
      <c r="A108" s="3" t="s">
        <v>153</v>
      </c>
      <c r="B108" s="3">
        <v>21.088758484748524</v>
      </c>
      <c r="C108" s="53">
        <v>6.7301834862385335E-2</v>
      </c>
      <c r="D108" s="53">
        <f t="shared" si="1"/>
        <v>0.12544556742118129</v>
      </c>
      <c r="E108" s="53">
        <v>8.0445567421181294E-2</v>
      </c>
      <c r="F108" s="53">
        <v>0.3</v>
      </c>
      <c r="G108" s="3" t="s">
        <v>57</v>
      </c>
      <c r="K108" s="58"/>
    </row>
    <row r="109" spans="1:11">
      <c r="A109" s="3" t="s">
        <v>154</v>
      </c>
      <c r="B109" s="3">
        <v>29.7348952489053</v>
      </c>
      <c r="C109" s="53">
        <v>3.0630963302752296E-2</v>
      </c>
      <c r="D109" s="53">
        <f t="shared" si="1"/>
        <v>8.161304671092226E-2</v>
      </c>
      <c r="E109" s="53">
        <v>3.6613046710922262E-2</v>
      </c>
      <c r="F109" s="53">
        <v>0.1</v>
      </c>
      <c r="G109" s="3" t="s">
        <v>46</v>
      </c>
      <c r="K109" s="58"/>
    </row>
    <row r="110" spans="1:11">
      <c r="A110" s="3" t="s">
        <v>155</v>
      </c>
      <c r="B110" s="3">
        <v>211.38927224215658</v>
      </c>
      <c r="C110" s="53">
        <v>1.9557798165137613E-2</v>
      </c>
      <c r="D110" s="53">
        <f t="shared" si="1"/>
        <v>6.8377344378804827E-2</v>
      </c>
      <c r="E110" s="53">
        <v>2.3377344378804829E-2</v>
      </c>
      <c r="F110" s="53">
        <v>0.29499999999999998</v>
      </c>
      <c r="G110" s="3" t="s">
        <v>46</v>
      </c>
      <c r="K110" s="58"/>
    </row>
    <row r="111" spans="1:11">
      <c r="A111" s="3" t="s">
        <v>156</v>
      </c>
      <c r="B111" s="3">
        <v>313.59520873726927</v>
      </c>
      <c r="C111" s="53">
        <v>2.3296788990825688E-2</v>
      </c>
      <c r="D111" s="53">
        <f t="shared" si="1"/>
        <v>7.2846542568870451E-2</v>
      </c>
      <c r="E111" s="53">
        <v>2.7846542568870453E-2</v>
      </c>
      <c r="F111" s="53">
        <v>0.25</v>
      </c>
      <c r="G111" s="3" t="s">
        <v>57</v>
      </c>
      <c r="K111" s="58"/>
    </row>
    <row r="112" spans="1:11">
      <c r="A112" s="3" t="s">
        <v>157</v>
      </c>
      <c r="B112" s="3">
        <v>524.5095652634086</v>
      </c>
      <c r="C112" s="53">
        <v>1.0354128440366973E-2</v>
      </c>
      <c r="D112" s="53">
        <f t="shared" si="1"/>
        <v>5.73762411417202E-2</v>
      </c>
      <c r="E112" s="53">
        <v>1.2376241141720201E-2</v>
      </c>
      <c r="F112" s="53">
        <v>0.19</v>
      </c>
      <c r="G112" s="3" t="s">
        <v>40</v>
      </c>
      <c r="K112" s="58"/>
    </row>
    <row r="113" spans="1:11">
      <c r="A113" s="3" t="s">
        <v>158</v>
      </c>
      <c r="B113" s="3">
        <v>217.57108304599035</v>
      </c>
      <c r="C113" s="53">
        <v>2.3296788990825688E-2</v>
      </c>
      <c r="D113" s="53">
        <f t="shared" si="1"/>
        <v>6.2533008284103617E-2</v>
      </c>
      <c r="E113" s="53">
        <v>1.7533008284103618E-2</v>
      </c>
      <c r="F113" s="53">
        <v>0.21</v>
      </c>
      <c r="G113" s="3" t="s">
        <v>42</v>
      </c>
      <c r="K113" s="58"/>
    </row>
    <row r="114" spans="1:11">
      <c r="A114" s="3" t="s">
        <v>159</v>
      </c>
      <c r="B114" s="3">
        <v>167.60521978021978</v>
      </c>
      <c r="C114" s="53">
        <v>7.3341743119266058E-3</v>
      </c>
      <c r="D114" s="53">
        <f t="shared" si="1"/>
        <v>5.3766504142051808E-2</v>
      </c>
      <c r="E114" s="53">
        <v>8.7665041420518092E-3</v>
      </c>
      <c r="F114" s="53">
        <v>0.1</v>
      </c>
      <c r="G114" s="3" t="s">
        <v>38</v>
      </c>
      <c r="K114" s="58"/>
    </row>
    <row r="115" spans="1:11">
      <c r="A115" s="3" t="s">
        <v>591</v>
      </c>
      <c r="B115" s="3">
        <v>5.2</v>
      </c>
      <c r="C115" s="53">
        <v>1.4668348623853212E-2</v>
      </c>
      <c r="D115" s="53">
        <f t="shared" si="1"/>
        <v>6.2533008284103617E-2</v>
      </c>
      <c r="E115" s="53">
        <v>1.7533008284103618E-2</v>
      </c>
      <c r="F115" s="53"/>
      <c r="G115" s="3" t="s">
        <v>38</v>
      </c>
      <c r="K115" s="58"/>
    </row>
    <row r="116" spans="1:11">
      <c r="A116" s="3" t="s">
        <v>162</v>
      </c>
      <c r="B116" s="3">
        <v>211.80328192473783</v>
      </c>
      <c r="C116" s="53">
        <v>2.6891972477064225E-2</v>
      </c>
      <c r="D116" s="53">
        <f t="shared" si="1"/>
        <v>7.7143848520856623E-2</v>
      </c>
      <c r="E116" s="53">
        <v>3.2143848520856624E-2</v>
      </c>
      <c r="F116" s="53">
        <v>0.16</v>
      </c>
      <c r="G116" s="3" t="s">
        <v>40</v>
      </c>
      <c r="K116" s="58"/>
    </row>
    <row r="117" spans="1:11">
      <c r="A117" s="3" t="s">
        <v>163</v>
      </c>
      <c r="B117" s="3">
        <v>1577.5241459631695</v>
      </c>
      <c r="C117" s="53">
        <v>9.1749082568807344E-2</v>
      </c>
      <c r="D117" s="53">
        <f t="shared" si="1"/>
        <v>0.11083472718442829</v>
      </c>
      <c r="E117" s="53">
        <v>6.5834727184428288E-2</v>
      </c>
      <c r="F117" s="53">
        <v>0.2</v>
      </c>
      <c r="G117" s="3" t="s">
        <v>40</v>
      </c>
      <c r="K117" s="58"/>
    </row>
    <row r="118" spans="1:11">
      <c r="A118" s="3" t="s">
        <v>164</v>
      </c>
      <c r="B118" s="3">
        <v>9.1366895140947939</v>
      </c>
      <c r="C118" s="53">
        <v>6.7301834862385335E-2</v>
      </c>
      <c r="D118" s="53">
        <f t="shared" si="1"/>
        <v>0.12544556742118129</v>
      </c>
      <c r="E118" s="53">
        <v>8.0445567421181294E-2</v>
      </c>
      <c r="F118" s="53">
        <v>0.3</v>
      </c>
      <c r="G118" s="3" t="s">
        <v>44</v>
      </c>
      <c r="K118" s="58"/>
    </row>
    <row r="119" spans="1:11">
      <c r="A119" s="3" t="s">
        <v>165</v>
      </c>
      <c r="B119" s="3">
        <v>683.82714428853603</v>
      </c>
      <c r="C119" s="53">
        <v>8.6284403669724778E-3</v>
      </c>
      <c r="D119" s="53">
        <f t="shared" si="1"/>
        <v>5.5313534284766833E-2</v>
      </c>
      <c r="E119" s="53">
        <v>1.0313534284766834E-2</v>
      </c>
      <c r="F119" s="53">
        <v>0.2</v>
      </c>
      <c r="G119" s="3" t="s">
        <v>38</v>
      </c>
      <c r="K119" s="58"/>
    </row>
    <row r="120" spans="1:11">
      <c r="A120" s="3" t="s">
        <v>166</v>
      </c>
      <c r="B120" s="3">
        <v>16.374743753473073</v>
      </c>
      <c r="C120" s="53">
        <v>4.4005045871559637E-2</v>
      </c>
      <c r="D120" s="53">
        <f t="shared" si="1"/>
        <v>9.7599024852310853E-2</v>
      </c>
      <c r="E120" s="53">
        <v>5.2599024852310855E-2</v>
      </c>
      <c r="F120" s="53">
        <v>0.3</v>
      </c>
      <c r="G120" s="3" t="s">
        <v>44</v>
      </c>
      <c r="K120" s="58"/>
    </row>
    <row r="121" spans="1:11">
      <c r="A121" s="3" t="s">
        <v>167</v>
      </c>
      <c r="B121" s="3">
        <v>41.431648801166318</v>
      </c>
      <c r="C121" s="53">
        <v>3.6814678899082569E-2</v>
      </c>
      <c r="D121" s="53">
        <f t="shared" si="1"/>
        <v>8.9004412948338496E-2</v>
      </c>
      <c r="E121" s="53">
        <v>4.4004412948338498E-2</v>
      </c>
      <c r="F121" s="53">
        <v>0.15</v>
      </c>
      <c r="G121" s="3" t="s">
        <v>40</v>
      </c>
      <c r="K121" s="58"/>
    </row>
    <row r="122" spans="1:11">
      <c r="A122" s="3" t="s">
        <v>168</v>
      </c>
      <c r="B122" s="3">
        <v>5</v>
      </c>
      <c r="C122" s="53">
        <v>3.0630963302752296E-2</v>
      </c>
      <c r="D122" s="53">
        <f t="shared" si="1"/>
        <v>8.161304671092226E-2</v>
      </c>
      <c r="E122" s="53">
        <v>3.6613046710922262E-2</v>
      </c>
      <c r="F122" s="53"/>
      <c r="G122" s="3" t="s">
        <v>38</v>
      </c>
      <c r="K122" s="58"/>
    </row>
    <row r="123" spans="1:11">
      <c r="A123" s="3" t="s">
        <v>169</v>
      </c>
      <c r="B123" s="3">
        <v>323.90723441233979</v>
      </c>
      <c r="C123" s="53">
        <v>0</v>
      </c>
      <c r="D123" s="53">
        <f t="shared" si="1"/>
        <v>4.4999999999999998E-2</v>
      </c>
      <c r="E123" s="53">
        <v>0</v>
      </c>
      <c r="F123" s="53">
        <v>0.17</v>
      </c>
      <c r="G123" s="3" t="s">
        <v>57</v>
      </c>
      <c r="K123" s="58"/>
    </row>
    <row r="124" spans="1:11">
      <c r="A124" s="3" t="s">
        <v>170</v>
      </c>
      <c r="B124" s="3">
        <v>95.769031980136219</v>
      </c>
      <c r="C124" s="53">
        <v>1.0354128440366973E-2</v>
      </c>
      <c r="D124" s="53">
        <f t="shared" si="1"/>
        <v>5.73762411417202E-2</v>
      </c>
      <c r="E124" s="53">
        <v>1.2376241141720201E-2</v>
      </c>
      <c r="F124" s="53">
        <v>0.21</v>
      </c>
      <c r="G124" s="3" t="s">
        <v>40</v>
      </c>
      <c r="K124" s="58"/>
    </row>
    <row r="125" spans="1:11">
      <c r="A125" s="3" t="s">
        <v>171</v>
      </c>
      <c r="B125" s="3">
        <v>48.769655479238807</v>
      </c>
      <c r="C125" s="53">
        <v>1.4668348623853212E-2</v>
      </c>
      <c r="D125" s="53">
        <f t="shared" si="1"/>
        <v>6.2533008284103617E-2</v>
      </c>
      <c r="E125" s="53">
        <v>1.7533008284103618E-2</v>
      </c>
      <c r="F125" s="53">
        <v>0.19</v>
      </c>
      <c r="G125" s="3" t="s">
        <v>40</v>
      </c>
      <c r="K125" s="58"/>
    </row>
    <row r="126" spans="1:11">
      <c r="A126" s="3" t="s">
        <v>608</v>
      </c>
      <c r="B126" s="3">
        <v>1.3034536161197352</v>
      </c>
      <c r="C126" s="53">
        <v>9.1749082568807344E-2</v>
      </c>
      <c r="D126" s="53">
        <f t="shared" si="1"/>
        <v>0.15466724789468733</v>
      </c>
      <c r="E126" s="53">
        <v>0.10966724789468733</v>
      </c>
      <c r="F126" s="53">
        <v>0.3</v>
      </c>
      <c r="G126" s="3" t="s">
        <v>57</v>
      </c>
      <c r="K126" s="58"/>
    </row>
    <row r="127" spans="1:11">
      <c r="A127" s="3" t="s">
        <v>172</v>
      </c>
      <c r="B127" s="3">
        <v>349.41934361408858</v>
      </c>
      <c r="C127" s="53">
        <v>3.6814678899082569E-2</v>
      </c>
      <c r="D127" s="53">
        <f t="shared" si="1"/>
        <v>8.9004412948338496E-2</v>
      </c>
      <c r="E127" s="53">
        <v>4.4004412948338498E-2</v>
      </c>
      <c r="F127" s="53">
        <v>0.27</v>
      </c>
      <c r="G127" s="3" t="s">
        <v>44</v>
      </c>
      <c r="K127" s="58"/>
    </row>
    <row r="128" spans="1:11">
      <c r="A128" s="3" t="s">
        <v>173</v>
      </c>
      <c r="B128" s="3">
        <v>1311.3200155159884</v>
      </c>
      <c r="C128" s="53">
        <v>1.9557798165137613E-2</v>
      </c>
      <c r="D128" s="53">
        <f t="shared" si="1"/>
        <v>6.8377344378804827E-2</v>
      </c>
      <c r="E128" s="53">
        <v>2.3377344378804829E-2</v>
      </c>
      <c r="F128" s="53">
        <v>0.25</v>
      </c>
      <c r="G128" s="3" t="s">
        <v>42</v>
      </c>
      <c r="K128" s="58"/>
    </row>
    <row r="129" spans="1:11">
      <c r="A129" s="3" t="s">
        <v>174</v>
      </c>
      <c r="B129" s="3">
        <v>87.1746822004324</v>
      </c>
      <c r="C129" s="53">
        <v>0.14682729357798166</v>
      </c>
      <c r="D129" s="53">
        <f t="shared" si="1"/>
        <v>0.22050197507911562</v>
      </c>
      <c r="E129" s="53">
        <v>0.17550197507911564</v>
      </c>
      <c r="F129" s="53">
        <v>0.24</v>
      </c>
      <c r="G129" s="3" t="s">
        <v>57</v>
      </c>
      <c r="K129" s="58"/>
    </row>
    <row r="130" spans="1:11">
      <c r="A130" s="3" t="s">
        <v>175</v>
      </c>
      <c r="B130" s="3">
        <v>1.5</v>
      </c>
      <c r="C130" s="53">
        <v>3.6814678899082569E-2</v>
      </c>
      <c r="D130" s="53">
        <f t="shared" si="1"/>
        <v>8.9004412948338496E-2</v>
      </c>
      <c r="E130" s="53">
        <v>4.4004412948338498E-2</v>
      </c>
      <c r="F130" s="53">
        <v>0.35</v>
      </c>
      <c r="G130" s="3" t="s">
        <v>49</v>
      </c>
      <c r="K130" s="58"/>
    </row>
    <row r="131" spans="1:11">
      <c r="A131" s="3" t="s">
        <v>176</v>
      </c>
      <c r="B131" s="3">
        <v>0.77</v>
      </c>
      <c r="C131" s="53">
        <v>7.9525458715596339E-2</v>
      </c>
      <c r="D131" s="53">
        <f t="shared" si="1"/>
        <v>0.14005640765793431</v>
      </c>
      <c r="E131" s="53">
        <v>9.5056407657934314E-2</v>
      </c>
      <c r="F131" s="53"/>
      <c r="G131" s="3" t="s">
        <v>49</v>
      </c>
      <c r="K131" s="58"/>
    </row>
    <row r="132" spans="1:11">
      <c r="A132" s="3" t="s">
        <v>177</v>
      </c>
      <c r="B132" s="3">
        <v>3.3243853252667708</v>
      </c>
      <c r="C132" s="53">
        <v>0.12238004587155965</v>
      </c>
      <c r="D132" s="53">
        <f t="shared" ref="D132:D147" si="2">$D$148+E132</f>
        <v>0.19128029460560964</v>
      </c>
      <c r="E132" s="53">
        <v>0.14628029460560965</v>
      </c>
      <c r="F132" s="53">
        <v>0.36</v>
      </c>
      <c r="G132" s="3" t="s">
        <v>46</v>
      </c>
      <c r="K132" s="58"/>
    </row>
    <row r="133" spans="1:11">
      <c r="A133" s="3" t="s">
        <v>178</v>
      </c>
      <c r="B133" s="3">
        <v>3.72</v>
      </c>
      <c r="C133" s="53">
        <v>7.9525458715596339E-2</v>
      </c>
      <c r="D133" s="53">
        <f t="shared" si="2"/>
        <v>0.14005640765793431</v>
      </c>
      <c r="E133" s="53">
        <v>9.5056407657934314E-2</v>
      </c>
      <c r="F133" s="53">
        <v>0.27500000000000002</v>
      </c>
      <c r="G133" s="3" t="s">
        <v>44</v>
      </c>
      <c r="K133" s="58"/>
    </row>
    <row r="134" spans="1:11">
      <c r="A134" s="3" t="s">
        <v>179</v>
      </c>
      <c r="B134" s="3">
        <v>538.04045821699651</v>
      </c>
      <c r="C134" s="53">
        <v>0</v>
      </c>
      <c r="D134" s="53">
        <f t="shared" si="2"/>
        <v>4.4999999999999998E-2</v>
      </c>
      <c r="E134" s="53">
        <v>0</v>
      </c>
      <c r="F134" s="53">
        <v>0.20599999999999999</v>
      </c>
      <c r="G134" s="3" t="s">
        <v>42</v>
      </c>
      <c r="K134" s="58"/>
    </row>
    <row r="135" spans="1:11">
      <c r="A135" s="3" t="s">
        <v>180</v>
      </c>
      <c r="B135" s="3">
        <v>678.88733684825183</v>
      </c>
      <c r="C135" s="53">
        <v>0</v>
      </c>
      <c r="D135" s="53">
        <f t="shared" si="2"/>
        <v>4.4999999999999998E-2</v>
      </c>
      <c r="E135" s="53">
        <v>0</v>
      </c>
      <c r="F135" s="53">
        <v>0.18</v>
      </c>
      <c r="G135" s="3" t="s">
        <v>42</v>
      </c>
      <c r="K135" s="58"/>
    </row>
    <row r="136" spans="1:11">
      <c r="A136" s="3" t="s">
        <v>181</v>
      </c>
      <c r="B136" s="3">
        <v>970.9</v>
      </c>
      <c r="C136" s="53">
        <v>7.3341743119266058E-3</v>
      </c>
      <c r="D136" s="53">
        <f t="shared" si="2"/>
        <v>5.3766504142051808E-2</v>
      </c>
      <c r="E136" s="53">
        <v>8.7665041420518092E-3</v>
      </c>
      <c r="F136" s="53">
        <v>0.2</v>
      </c>
      <c r="G136" s="3" t="s">
        <v>57</v>
      </c>
      <c r="K136" s="58"/>
    </row>
    <row r="137" spans="1:11">
      <c r="A137" s="3" t="s">
        <v>182</v>
      </c>
      <c r="B137" s="3">
        <v>7.1457010187491958</v>
      </c>
      <c r="C137" s="53">
        <v>7.9525458715596339E-2</v>
      </c>
      <c r="D137" s="53">
        <f t="shared" si="2"/>
        <v>0.14005640765793431</v>
      </c>
      <c r="E137" s="53">
        <v>9.5056407657934314E-2</v>
      </c>
      <c r="F137" s="53"/>
      <c r="G137" s="3" t="s">
        <v>40</v>
      </c>
      <c r="K137" s="58"/>
    </row>
    <row r="138" spans="1:11">
      <c r="A138" s="3" t="s">
        <v>609</v>
      </c>
      <c r="B138" s="3">
        <v>52.090320325473591</v>
      </c>
      <c r="C138" s="53">
        <v>6.7301834862385335E-2</v>
      </c>
      <c r="D138" s="53">
        <f t="shared" si="2"/>
        <v>0.12544556742118129</v>
      </c>
      <c r="E138" s="53">
        <v>8.0445567421181294E-2</v>
      </c>
      <c r="F138" s="53"/>
      <c r="G138" s="3" t="s">
        <v>44</v>
      </c>
      <c r="K138" s="58"/>
    </row>
    <row r="139" spans="1:11">
      <c r="A139" s="3" t="s">
        <v>183</v>
      </c>
      <c r="B139" s="3">
        <v>455.22092057112889</v>
      </c>
      <c r="C139" s="53">
        <v>1.9557798165137613E-2</v>
      </c>
      <c r="D139" s="53">
        <f t="shared" si="2"/>
        <v>6.8377344378804827E-2</v>
      </c>
      <c r="E139" s="53">
        <v>2.3377344378804829E-2</v>
      </c>
      <c r="F139" s="53">
        <v>0.2</v>
      </c>
      <c r="G139" s="3" t="s">
        <v>57</v>
      </c>
      <c r="K139" s="58"/>
    </row>
    <row r="140" spans="1:11">
      <c r="A140" s="3" t="s">
        <v>184</v>
      </c>
      <c r="B140" s="3">
        <v>22.104775828460038</v>
      </c>
      <c r="C140" s="53">
        <v>3.6814678899082569E-2</v>
      </c>
      <c r="D140" s="53">
        <f t="shared" si="2"/>
        <v>8.9004412948338496E-2</v>
      </c>
      <c r="E140" s="53">
        <v>4.4004412948338498E-2</v>
      </c>
      <c r="F140" s="53">
        <v>0.3</v>
      </c>
      <c r="G140" s="3" t="s">
        <v>49</v>
      </c>
      <c r="K140" s="58"/>
    </row>
    <row r="141" spans="1:11">
      <c r="A141" s="3" t="s">
        <v>185</v>
      </c>
      <c r="B141" s="3">
        <v>40.25667520872944</v>
      </c>
      <c r="C141" s="53">
        <v>9.1749082568807344E-2</v>
      </c>
      <c r="D141" s="53">
        <f t="shared" si="2"/>
        <v>0.17666945436885656</v>
      </c>
      <c r="E141" s="53">
        <v>0.13166945436885658</v>
      </c>
      <c r="F141" s="53">
        <v>0.15</v>
      </c>
      <c r="G141" s="3" t="s">
        <v>44</v>
      </c>
      <c r="K141" s="58"/>
    </row>
    <row r="142" spans="1:11">
      <c r="A142" s="3" t="s">
        <v>186</v>
      </c>
      <c r="B142" s="3">
        <v>851.10241111811627</v>
      </c>
      <c r="C142" s="53">
        <v>7.9525458715596339E-2</v>
      </c>
      <c r="D142" s="53">
        <f t="shared" si="2"/>
        <v>0.14005640765793431</v>
      </c>
      <c r="E142" s="53">
        <v>9.5056407657934314E-2</v>
      </c>
      <c r="F142" s="53">
        <v>0.23</v>
      </c>
      <c r="G142" s="3" t="s">
        <v>42</v>
      </c>
      <c r="K142" s="58"/>
    </row>
    <row r="143" spans="1:11">
      <c r="A143" s="3" t="s">
        <v>592</v>
      </c>
      <c r="B143" s="3">
        <v>1.5</v>
      </c>
      <c r="C143" s="53">
        <v>1.9557798165137613E-2</v>
      </c>
      <c r="D143" s="53">
        <f t="shared" si="2"/>
        <v>6.8377344378804827E-2</v>
      </c>
      <c r="E143" s="53">
        <v>2.3377344378804829E-2</v>
      </c>
      <c r="F143" s="53">
        <v>0</v>
      </c>
      <c r="G143" s="3" t="s">
        <v>49</v>
      </c>
      <c r="K143" s="58"/>
    </row>
    <row r="144" spans="1:11">
      <c r="A144" s="3" t="s">
        <v>189</v>
      </c>
      <c r="B144" s="3">
        <v>25.891058946193581</v>
      </c>
      <c r="C144" s="53">
        <v>6.7301834862385335E-2</v>
      </c>
      <c r="D144" s="53">
        <f t="shared" si="2"/>
        <v>0.12544556742118129</v>
      </c>
      <c r="E144" s="53">
        <v>8.0445567421181294E-2</v>
      </c>
      <c r="F144" s="53">
        <v>0.3</v>
      </c>
      <c r="G144" s="3" t="s">
        <v>44</v>
      </c>
      <c r="K144" s="58"/>
    </row>
    <row r="145" spans="1:11">
      <c r="A145" s="3" t="s">
        <v>190</v>
      </c>
      <c r="B145" s="3">
        <v>112.1541851214065</v>
      </c>
      <c r="C145" s="53">
        <v>0.12238004587155965</v>
      </c>
      <c r="D145" s="53">
        <f t="shared" si="2"/>
        <v>0.22050197507911562</v>
      </c>
      <c r="E145" s="53">
        <v>0.17550197507911564</v>
      </c>
      <c r="F145" s="53">
        <v>0.18</v>
      </c>
      <c r="G145" s="3" t="s">
        <v>40</v>
      </c>
      <c r="K145" s="58"/>
    </row>
    <row r="146" spans="1:11">
      <c r="A146" s="3" t="s">
        <v>191</v>
      </c>
      <c r="B146" s="3">
        <v>382.57508509189927</v>
      </c>
      <c r="C146" s="53">
        <v>6.0399082568807346E-3</v>
      </c>
      <c r="D146" s="53">
        <f t="shared" si="2"/>
        <v>5.2219473999336782E-2</v>
      </c>
      <c r="E146" s="53">
        <v>7.219473999336784E-3</v>
      </c>
      <c r="F146" s="53">
        <v>0</v>
      </c>
      <c r="G146" s="3" t="s">
        <v>38</v>
      </c>
      <c r="K146" s="58"/>
    </row>
    <row r="147" spans="1:11">
      <c r="A147" s="3" t="s">
        <v>192</v>
      </c>
      <c r="B147" s="3">
        <v>2622.4339596041618</v>
      </c>
      <c r="C147" s="53">
        <v>7.3341743119266058E-3</v>
      </c>
      <c r="D147" s="53">
        <f t="shared" si="2"/>
        <v>5.3766504142051808E-2</v>
      </c>
      <c r="E147" s="53">
        <v>8.7665041420518092E-3</v>
      </c>
      <c r="F147" s="53">
        <v>0.25</v>
      </c>
      <c r="G147" s="3" t="s">
        <v>42</v>
      </c>
      <c r="K147" s="58"/>
    </row>
    <row r="148" spans="1:11">
      <c r="A148" s="3" t="s">
        <v>193</v>
      </c>
      <c r="B148" s="3">
        <v>19390.603999999999</v>
      </c>
      <c r="C148" s="53">
        <v>0</v>
      </c>
      <c r="D148" s="112">
        <v>4.4999999999999998E-2</v>
      </c>
      <c r="E148" s="53">
        <v>0</v>
      </c>
      <c r="F148" s="53">
        <v>0.25</v>
      </c>
      <c r="G148" s="3" t="s">
        <v>73</v>
      </c>
    </row>
    <row r="149" spans="1:11">
      <c r="A149" s="3" t="s">
        <v>194</v>
      </c>
      <c r="B149" s="3">
        <v>56.15697215769584</v>
      </c>
      <c r="C149" s="53">
        <v>2.3296788990825688E-2</v>
      </c>
      <c r="D149" s="53">
        <f>$D$148+E149</f>
        <v>7.2846542568870451E-2</v>
      </c>
      <c r="E149" s="53">
        <v>2.7846542568870453E-2</v>
      </c>
      <c r="F149" s="53">
        <v>0.25</v>
      </c>
      <c r="G149" s="3" t="s">
        <v>46</v>
      </c>
    </row>
    <row r="150" spans="1:11">
      <c r="A150" s="3" t="s">
        <v>195</v>
      </c>
      <c r="B150" s="3">
        <v>250</v>
      </c>
      <c r="C150" s="58">
        <v>0.17499999999999999</v>
      </c>
      <c r="D150" s="53">
        <f t="shared" ref="D150:D152" si="3">$D$148+E150</f>
        <v>0.27992692770782934</v>
      </c>
      <c r="E150" s="58">
        <v>0.23492692770782936</v>
      </c>
      <c r="F150" s="3">
        <v>0.34</v>
      </c>
      <c r="G150" s="3" t="s">
        <v>46</v>
      </c>
    </row>
    <row r="151" spans="1:11">
      <c r="A151" s="3" t="s">
        <v>196</v>
      </c>
      <c r="B151" s="3">
        <v>223.86399635465543</v>
      </c>
      <c r="C151" s="58">
        <v>3.6814678899082569E-2</v>
      </c>
      <c r="D151" s="53">
        <f t="shared" si="3"/>
        <v>8.9004412948338496E-2</v>
      </c>
      <c r="E151" s="58">
        <v>4.4004412948338498E-2</v>
      </c>
      <c r="F151" s="3">
        <v>0.2</v>
      </c>
      <c r="G151" s="3" t="s">
        <v>57</v>
      </c>
    </row>
    <row r="152" spans="1:11">
      <c r="A152" s="3" t="s">
        <v>197</v>
      </c>
      <c r="B152" s="3">
        <v>25.808666421555753</v>
      </c>
      <c r="C152" s="58">
        <v>0.14682729357798166</v>
      </c>
      <c r="D152" s="53">
        <f t="shared" si="3"/>
        <v>0.19128029460560964</v>
      </c>
      <c r="E152" s="58">
        <v>0.14628029460560965</v>
      </c>
      <c r="F152" s="3">
        <v>0.35</v>
      </c>
      <c r="G152" s="3" t="s">
        <v>44</v>
      </c>
    </row>
    <row r="155" spans="1:11">
      <c r="A155" s="108" t="s">
        <v>36</v>
      </c>
      <c r="B155" s="109" t="s">
        <v>593</v>
      </c>
      <c r="C155" s="109" t="s">
        <v>594</v>
      </c>
      <c r="D155" s="109" t="s">
        <v>595</v>
      </c>
      <c r="E155" s="109" t="s">
        <v>596</v>
      </c>
    </row>
    <row r="156" spans="1:11">
      <c r="A156" s="110" t="s">
        <v>44</v>
      </c>
      <c r="B156" s="111">
        <f>$B$163+C156</f>
        <v>0.13663852306889546</v>
      </c>
      <c r="C156" s="111">
        <v>9.1638523068895444E-2</v>
      </c>
      <c r="D156" s="111">
        <v>6.8262679351091926E-2</v>
      </c>
      <c r="E156" s="111">
        <v>0.27302836489005694</v>
      </c>
      <c r="G156" s="153" t="s">
        <v>672</v>
      </c>
      <c r="H156" s="154"/>
    </row>
    <row r="157" spans="1:11">
      <c r="A157" s="110" t="s">
        <v>57</v>
      </c>
      <c r="B157" s="111">
        <f t="shared" ref="B157:B162" si="4">$B$163+C157</f>
        <v>6.1805405008578562E-2</v>
      </c>
      <c r="C157" s="111">
        <v>1.6805405008578567E-2</v>
      </c>
      <c r="D157" s="111">
        <v>1.2518555898193178E-2</v>
      </c>
      <c r="E157" s="111">
        <v>0.2576437502455447</v>
      </c>
      <c r="G157" s="155"/>
      <c r="H157" s="156"/>
    </row>
    <row r="158" spans="1:11">
      <c r="A158" s="110" t="s">
        <v>51</v>
      </c>
      <c r="B158" s="111">
        <f t="shared" si="4"/>
        <v>4.5047923618641933E-2</v>
      </c>
      <c r="C158" s="111">
        <v>4.7923618641935289E-5</v>
      </c>
      <c r="D158" s="111">
        <v>3.5698901544265913E-5</v>
      </c>
      <c r="E158" s="111">
        <v>0.29744361328762281</v>
      </c>
      <c r="G158" s="157"/>
      <c r="H158" s="158"/>
    </row>
    <row r="159" spans="1:11">
      <c r="A159" s="110" t="s">
        <v>49</v>
      </c>
      <c r="B159" s="111">
        <f t="shared" si="4"/>
        <v>0.1865348819700155</v>
      </c>
      <c r="C159" s="111">
        <v>0.14153488197001549</v>
      </c>
      <c r="D159" s="111">
        <v>0.1054310997313879</v>
      </c>
      <c r="E159" s="111">
        <v>0.2724561140242252</v>
      </c>
    </row>
    <row r="160" spans="1:11">
      <c r="A160" s="110" t="s">
        <v>46</v>
      </c>
      <c r="B160" s="111">
        <f t="shared" si="4"/>
        <v>0.10261091058162494</v>
      </c>
      <c r="C160" s="111">
        <v>5.7610910581624951E-2</v>
      </c>
      <c r="D160" s="111">
        <v>4.2915086193622262E-2</v>
      </c>
      <c r="E160" s="111">
        <v>0.31595749426030023</v>
      </c>
    </row>
    <row r="161" spans="1:5">
      <c r="A161" s="110" t="s">
        <v>40</v>
      </c>
      <c r="B161" s="111">
        <f t="shared" si="4"/>
        <v>9.5579383477192262E-2</v>
      </c>
      <c r="C161" s="111">
        <v>5.0579383477192263E-2</v>
      </c>
      <c r="D161" s="111">
        <v>3.7670398345457844E-2</v>
      </c>
      <c r="E161" s="111">
        <v>0.18485819102180306</v>
      </c>
    </row>
    <row r="162" spans="1:5">
      <c r="A162" s="110" t="s">
        <v>38</v>
      </c>
      <c r="B162" s="111">
        <f t="shared" si="4"/>
        <v>6.6589990892489848E-2</v>
      </c>
      <c r="C162" s="111">
        <v>2.1589990892489853E-2</v>
      </c>
      <c r="D162" s="111">
        <v>1.6082653627874467E-2</v>
      </c>
      <c r="E162" s="111">
        <v>0.18760152153615242</v>
      </c>
    </row>
    <row r="163" spans="1:5">
      <c r="A163" s="110" t="s">
        <v>73</v>
      </c>
      <c r="B163" s="111">
        <f>D148</f>
        <v>4.4999999999999998E-2</v>
      </c>
      <c r="C163" s="111">
        <v>0</v>
      </c>
      <c r="D163" s="111">
        <v>0</v>
      </c>
      <c r="E163" s="111">
        <v>0.25116286561170831</v>
      </c>
    </row>
    <row r="164" spans="1:5">
      <c r="A164" s="110" t="s">
        <v>42</v>
      </c>
      <c r="B164" s="111">
        <f>$B$163+C164</f>
        <v>5.7871606293643366E-2</v>
      </c>
      <c r="C164" s="111">
        <v>1.2871606293643371E-2</v>
      </c>
      <c r="D164" s="111">
        <v>9.5882201472833571E-3</v>
      </c>
      <c r="E164" s="111">
        <v>0.24707349543413576</v>
      </c>
    </row>
    <row r="165" spans="1:5">
      <c r="A165" s="110" t="s">
        <v>597</v>
      </c>
      <c r="B165" s="111">
        <f>$B$163+C165</f>
        <v>6.3100000000000003E-2</v>
      </c>
      <c r="C165" s="111">
        <v>1.8100000000000002E-2</v>
      </c>
      <c r="D165" s="111">
        <v>1.35E-2</v>
      </c>
      <c r="E165" s="111">
        <v>0.25225942509764748</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G7"/>
  <sheetViews>
    <sheetView workbookViewId="0">
      <selection activeCell="G1" sqref="G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6" width="9.140625" style="3"/>
    <col min="7" max="7" width="15.85546875" style="3" customWidth="1"/>
    <col min="8" max="16384" width="9.140625" style="3"/>
  </cols>
  <sheetData>
    <row r="1" spans="1:7">
      <c r="A1" s="3" t="s">
        <v>599</v>
      </c>
      <c r="B1" s="85" t="s">
        <v>600</v>
      </c>
      <c r="C1" s="85" t="s">
        <v>601</v>
      </c>
      <c r="D1" s="85" t="s">
        <v>602</v>
      </c>
      <c r="E1" s="85" t="s">
        <v>603</v>
      </c>
      <c r="G1" s="132" t="s">
        <v>706</v>
      </c>
    </row>
    <row r="2" spans="1:7">
      <c r="A2" s="86" t="s">
        <v>5</v>
      </c>
      <c r="B2" s="88">
        <v>2182.4</v>
      </c>
      <c r="C2" s="88">
        <v>1609.05</v>
      </c>
      <c r="D2" s="88">
        <v>1814.94</v>
      </c>
      <c r="E2" s="87">
        <f>B2-C2+D2</f>
        <v>2388.29</v>
      </c>
    </row>
    <row r="3" spans="1:7">
      <c r="A3" s="86" t="s">
        <v>604</v>
      </c>
      <c r="B3" s="88">
        <v>220.92</v>
      </c>
      <c r="C3" s="88">
        <v>162.52000000000001</v>
      </c>
      <c r="D3" s="88">
        <v>197.85</v>
      </c>
      <c r="E3" s="87">
        <f>B3-C3+D3</f>
        <v>256.25</v>
      </c>
    </row>
    <row r="4" spans="1:7">
      <c r="A4" s="86" t="s">
        <v>6</v>
      </c>
      <c r="B4" s="88">
        <v>450.95</v>
      </c>
      <c r="C4" s="88">
        <v>323.79000000000002</v>
      </c>
      <c r="D4" s="88">
        <v>212.96</v>
      </c>
      <c r="E4" s="87">
        <f>B4-C4+D4</f>
        <v>340.12</v>
      </c>
    </row>
    <row r="5" spans="1:7">
      <c r="A5" s="86" t="s">
        <v>605</v>
      </c>
      <c r="B5" s="88">
        <v>0</v>
      </c>
      <c r="C5" s="88">
        <v>0</v>
      </c>
      <c r="D5" s="88">
        <v>0</v>
      </c>
      <c r="E5" s="87">
        <f>B5-C5+D5</f>
        <v>0</v>
      </c>
    </row>
    <row r="6" spans="1:7">
      <c r="E6" s="87"/>
    </row>
    <row r="7" spans="1:7">
      <c r="A7" s="74" t="s">
        <v>670</v>
      </c>
      <c r="B7" s="89">
        <v>73.56</v>
      </c>
      <c r="C7" s="89">
        <v>60.62</v>
      </c>
      <c r="D7" s="89">
        <v>31.31</v>
      </c>
      <c r="E7" s="87">
        <f>B7-C7+D7</f>
        <v>44.25</v>
      </c>
    </row>
  </sheetData>
  <hyperlinks>
    <hyperlink ref="G1" location="'Input Sheet'!A1" display="Input Sheet" xr:uid="{B4DBCCEF-08F3-4233-B100-46B81E5BD26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5141-DDB4-432B-867F-E918650D0774}">
  <dimension ref="A1:X37"/>
  <sheetViews>
    <sheetView workbookViewId="0"/>
  </sheetViews>
  <sheetFormatPr defaultColWidth="11.42578125" defaultRowHeight="12"/>
  <cols>
    <col min="1" max="16384" width="11.42578125" style="116"/>
  </cols>
  <sheetData>
    <row r="1" spans="1:11" s="114" customFormat="1" ht="23.25">
      <c r="A1" s="114" t="s">
        <v>675</v>
      </c>
    </row>
    <row r="2" spans="1:11" s="115" customFormat="1" ht="18.75">
      <c r="A2" s="115" t="s">
        <v>676</v>
      </c>
    </row>
    <row r="3" spans="1:11" ht="12.75" thickBot="1"/>
    <row r="4" spans="1:11" ht="13.5" thickBot="1">
      <c r="A4" s="159" t="s">
        <v>677</v>
      </c>
      <c r="B4" s="160"/>
      <c r="C4" s="160"/>
      <c r="D4" s="160"/>
      <c r="E4" s="160"/>
      <c r="F4" s="160"/>
      <c r="G4" s="160"/>
      <c r="H4" s="160"/>
      <c r="I4" s="160"/>
      <c r="J4" s="160"/>
      <c r="K4" s="161"/>
    </row>
    <row r="5" spans="1:11" ht="15.75">
      <c r="A5" s="117" t="s">
        <v>678</v>
      </c>
      <c r="B5" s="118">
        <v>1</v>
      </c>
      <c r="C5" s="118">
        <v>2</v>
      </c>
      <c r="D5" s="118">
        <v>3</v>
      </c>
      <c r="E5" s="118">
        <v>4</v>
      </c>
      <c r="F5" s="118">
        <v>5</v>
      </c>
      <c r="G5" s="118">
        <v>6</v>
      </c>
      <c r="H5" s="118">
        <v>7</v>
      </c>
      <c r="I5" s="118">
        <v>8</v>
      </c>
      <c r="J5" s="118">
        <v>9</v>
      </c>
      <c r="K5" s="118">
        <v>10</v>
      </c>
    </row>
    <row r="6" spans="1:11" ht="15">
      <c r="A6" s="119" t="s">
        <v>679</v>
      </c>
      <c r="B6" s="120">
        <v>0</v>
      </c>
      <c r="C6" s="120">
        <v>2.9999999999999997E-4</v>
      </c>
      <c r="D6" s="120">
        <v>1.2999999999999999E-3</v>
      </c>
      <c r="E6" s="120">
        <v>2.3999999999999998E-3</v>
      </c>
      <c r="F6" s="120">
        <v>3.4999999999999996E-3</v>
      </c>
      <c r="G6" s="120">
        <v>4.5000000000000005E-3</v>
      </c>
      <c r="H6" s="120">
        <v>5.1000000000000004E-3</v>
      </c>
      <c r="I6" s="120">
        <v>5.8999999999999999E-3</v>
      </c>
      <c r="J6" s="120">
        <v>6.4000000000000003E-3</v>
      </c>
      <c r="K6" s="120">
        <v>6.9999999999999993E-3</v>
      </c>
    </row>
    <row r="7" spans="1:11" ht="15">
      <c r="A7" s="119" t="s">
        <v>680</v>
      </c>
      <c r="B7" s="120">
        <v>2.0000000000000001E-4</v>
      </c>
      <c r="C7" s="120">
        <v>5.9999999999999995E-4</v>
      </c>
      <c r="D7" s="120">
        <v>1.1999999999999999E-3</v>
      </c>
      <c r="E7" s="120">
        <v>2.0999999999999999E-3</v>
      </c>
      <c r="F7" s="120">
        <v>3.0999999999999999E-3</v>
      </c>
      <c r="G7" s="120">
        <v>4.1999999999999997E-3</v>
      </c>
      <c r="H7" s="120">
        <v>5.0000000000000001E-3</v>
      </c>
      <c r="I7" s="120">
        <v>5.7999999999999996E-3</v>
      </c>
      <c r="J7" s="120">
        <v>6.5000000000000006E-3</v>
      </c>
      <c r="K7" s="120">
        <v>7.1999999999999998E-3</v>
      </c>
    </row>
    <row r="8" spans="1:11" ht="15">
      <c r="A8" s="119" t="s">
        <v>681</v>
      </c>
      <c r="B8" s="120">
        <v>5.0000000000000001E-4</v>
      </c>
      <c r="C8" s="120">
        <v>1.4000000000000002E-3</v>
      </c>
      <c r="D8" s="120">
        <v>2.3E-3</v>
      </c>
      <c r="E8" s="120">
        <v>3.4999999999999996E-3</v>
      </c>
      <c r="F8" s="120">
        <v>4.6999999999999993E-3</v>
      </c>
      <c r="G8" s="120">
        <v>6.1999999999999998E-3</v>
      </c>
      <c r="H8" s="120">
        <v>7.9000000000000008E-3</v>
      </c>
      <c r="I8" s="120">
        <v>9.300000000000001E-3</v>
      </c>
      <c r="J8" s="120">
        <v>1.0800000000000001E-2</v>
      </c>
      <c r="K8" s="120">
        <v>1.24E-2</v>
      </c>
    </row>
    <row r="9" spans="1:11" ht="15">
      <c r="A9" s="119" t="s">
        <v>682</v>
      </c>
      <c r="B9" s="120">
        <v>1.6000000000000001E-3</v>
      </c>
      <c r="C9" s="120">
        <v>4.5000000000000005E-3</v>
      </c>
      <c r="D9" s="120">
        <v>7.8000000000000005E-3</v>
      </c>
      <c r="E9" s="120">
        <v>1.1699999999999999E-2</v>
      </c>
      <c r="F9" s="120">
        <v>1.5800000000000002E-2</v>
      </c>
      <c r="G9" s="120">
        <v>1.9799999999999998E-2</v>
      </c>
      <c r="H9" s="120">
        <v>2.3300000000000001E-2</v>
      </c>
      <c r="I9" s="120">
        <v>2.6699999999999998E-2</v>
      </c>
      <c r="J9" s="120">
        <v>0.03</v>
      </c>
      <c r="K9" s="120">
        <v>3.32E-2</v>
      </c>
    </row>
    <row r="10" spans="1:11" ht="15">
      <c r="A10" s="119" t="s">
        <v>683</v>
      </c>
      <c r="B10" s="120">
        <v>6.0999999999999995E-3</v>
      </c>
      <c r="C10" s="120">
        <v>1.9199999999999998E-2</v>
      </c>
      <c r="D10" s="120">
        <v>3.4799999999999998E-2</v>
      </c>
      <c r="E10" s="120">
        <v>5.0499999999999996E-2</v>
      </c>
      <c r="F10" s="120">
        <v>6.5199999999999994E-2</v>
      </c>
      <c r="G10" s="120">
        <v>7.85E-2</v>
      </c>
      <c r="H10" s="120">
        <v>9.01E-2</v>
      </c>
      <c r="I10" s="120">
        <v>0.10039999999999999</v>
      </c>
      <c r="J10" s="120">
        <v>0.10970000000000001</v>
      </c>
      <c r="K10" s="120">
        <v>0.11779999999999999</v>
      </c>
    </row>
    <row r="11" spans="1:11" ht="15">
      <c r="A11" s="119" t="s">
        <v>319</v>
      </c>
      <c r="B11" s="120">
        <v>3.3300000000000003E-2</v>
      </c>
      <c r="C11" s="120">
        <v>7.7100000000000002E-2</v>
      </c>
      <c r="D11" s="120">
        <v>0.11550000000000001</v>
      </c>
      <c r="E11" s="120">
        <v>0.14580000000000001</v>
      </c>
      <c r="F11" s="120">
        <v>0.16930000000000001</v>
      </c>
      <c r="G11" s="120">
        <v>0.1883</v>
      </c>
      <c r="H11" s="120">
        <v>0.2036</v>
      </c>
      <c r="I11" s="120">
        <v>0.21600000000000003</v>
      </c>
      <c r="J11" s="120">
        <v>0.22699999999999998</v>
      </c>
      <c r="K11" s="120">
        <v>0.23739999999999997</v>
      </c>
    </row>
    <row r="12" spans="1:11" ht="15">
      <c r="A12" s="119" t="s">
        <v>684</v>
      </c>
      <c r="B12" s="120">
        <v>0.27079999999999999</v>
      </c>
      <c r="C12" s="120">
        <v>0.3664</v>
      </c>
      <c r="D12" s="120">
        <v>0.41409999999999997</v>
      </c>
      <c r="E12" s="120">
        <v>0.441</v>
      </c>
      <c r="F12" s="120">
        <v>0.46189999999999998</v>
      </c>
      <c r="G12" s="120">
        <v>0.47090000000000004</v>
      </c>
      <c r="H12" s="120">
        <v>0.48259999999999997</v>
      </c>
      <c r="I12" s="120">
        <v>0.49049999999999999</v>
      </c>
      <c r="J12" s="120">
        <v>0.49759999999999999</v>
      </c>
      <c r="K12" s="120">
        <v>0.50380000000000003</v>
      </c>
    </row>
    <row r="14" spans="1:11" ht="15">
      <c r="A14" s="121" t="s">
        <v>685</v>
      </c>
    </row>
    <row r="16" spans="1:11" s="115" customFormat="1" ht="18.75">
      <c r="A16" s="115" t="s">
        <v>686</v>
      </c>
    </row>
    <row r="17" spans="1:24">
      <c r="O17" s="162" t="s">
        <v>687</v>
      </c>
      <c r="P17" s="162"/>
      <c r="Q17" s="162"/>
      <c r="R17" s="162"/>
      <c r="S17" s="162"/>
      <c r="T17" s="162"/>
      <c r="U17" s="162"/>
      <c r="V17" s="162"/>
      <c r="W17" s="162"/>
      <c r="X17" s="162"/>
    </row>
    <row r="18" spans="1:24" ht="15.75">
      <c r="A18" s="122"/>
      <c r="B18" s="123"/>
      <c r="C18" s="124" t="s">
        <v>688</v>
      </c>
      <c r="D18" s="124" t="s">
        <v>689</v>
      </c>
      <c r="E18" s="124" t="s">
        <v>690</v>
      </c>
      <c r="F18" s="124" t="s">
        <v>691</v>
      </c>
      <c r="G18" s="124" t="s">
        <v>692</v>
      </c>
      <c r="H18" s="124" t="s">
        <v>693</v>
      </c>
      <c r="I18" s="124" t="s">
        <v>288</v>
      </c>
      <c r="J18" s="124" t="s">
        <v>694</v>
      </c>
      <c r="K18" s="124" t="s">
        <v>695</v>
      </c>
      <c r="L18" s="124" t="s">
        <v>696</v>
      </c>
      <c r="O18" s="124" t="s">
        <v>688</v>
      </c>
      <c r="P18" s="124" t="s">
        <v>689</v>
      </c>
      <c r="Q18" s="124" t="s">
        <v>690</v>
      </c>
      <c r="R18" s="124" t="s">
        <v>691</v>
      </c>
      <c r="S18" s="124" t="s">
        <v>692</v>
      </c>
      <c r="T18" s="124" t="s">
        <v>693</v>
      </c>
      <c r="U18" s="124" t="s">
        <v>288</v>
      </c>
      <c r="V18" s="124" t="s">
        <v>694</v>
      </c>
      <c r="W18" s="124" t="s">
        <v>695</v>
      </c>
      <c r="X18" s="124" t="s">
        <v>696</v>
      </c>
    </row>
    <row r="19" spans="1:24" ht="15.95" customHeight="1">
      <c r="A19" s="163" t="s">
        <v>697</v>
      </c>
      <c r="B19" s="125">
        <v>0</v>
      </c>
      <c r="C19" s="126">
        <f>1-O28</f>
        <v>0.55099999999999993</v>
      </c>
      <c r="D19" s="126">
        <f t="shared" ref="D19:L19" si="0">1-P28</f>
        <v>0.67700000000000005</v>
      </c>
      <c r="E19" s="126">
        <f t="shared" si="0"/>
        <v>0.55099999999999993</v>
      </c>
      <c r="F19" s="126">
        <f t="shared" si="0"/>
        <v>0.753</v>
      </c>
      <c r="G19" s="126">
        <f t="shared" si="0"/>
        <v>0.61899999999999999</v>
      </c>
      <c r="H19" s="126">
        <f t="shared" si="0"/>
        <v>0.61</v>
      </c>
      <c r="I19" s="126">
        <f t="shared" si="0"/>
        <v>0.71599999999999997</v>
      </c>
      <c r="J19" s="126">
        <f t="shared" si="0"/>
        <v>0.745</v>
      </c>
      <c r="K19" s="126">
        <f t="shared" si="0"/>
        <v>0.57499999999999996</v>
      </c>
      <c r="L19" s="126">
        <f t="shared" si="0"/>
        <v>0.67200000000000004</v>
      </c>
      <c r="N19" s="116">
        <v>1</v>
      </c>
      <c r="O19" s="127">
        <v>0.82299999999999995</v>
      </c>
      <c r="P19" s="127">
        <v>0.81799999999999995</v>
      </c>
      <c r="Q19" s="127">
        <v>0.84</v>
      </c>
      <c r="R19" s="127">
        <v>0.74299999999999999</v>
      </c>
      <c r="S19" s="127">
        <v>0.82799999999999996</v>
      </c>
      <c r="T19" s="127">
        <v>0.83099999999999996</v>
      </c>
      <c r="U19" s="127">
        <v>0.76900000000000002</v>
      </c>
      <c r="V19" s="127">
        <v>0.752</v>
      </c>
      <c r="W19" s="127">
        <v>0.81400000000000006</v>
      </c>
      <c r="X19" s="127">
        <v>0.78299999999999992</v>
      </c>
    </row>
    <row r="20" spans="1:24" ht="15.75">
      <c r="A20" s="164"/>
      <c r="B20" s="125">
        <v>1</v>
      </c>
      <c r="C20" s="126">
        <f>O19-O$28</f>
        <v>0.37399999999999994</v>
      </c>
      <c r="D20" s="126">
        <f t="shared" ref="D20:L29" si="1">P19-P$28</f>
        <v>0.495</v>
      </c>
      <c r="E20" s="126">
        <f t="shared" si="1"/>
        <v>0.39099999999999996</v>
      </c>
      <c r="F20" s="126">
        <f t="shared" si="1"/>
        <v>0.496</v>
      </c>
      <c r="G20" s="126">
        <f t="shared" si="1"/>
        <v>0.44699999999999995</v>
      </c>
      <c r="H20" s="126">
        <f t="shared" si="1"/>
        <v>0.44099999999999995</v>
      </c>
      <c r="I20" s="126">
        <f t="shared" si="1"/>
        <v>0.48500000000000004</v>
      </c>
      <c r="J20" s="126">
        <f t="shared" si="1"/>
        <v>0.497</v>
      </c>
      <c r="K20" s="126">
        <f t="shared" si="1"/>
        <v>0.38900000000000007</v>
      </c>
      <c r="L20" s="126">
        <f t="shared" si="1"/>
        <v>0.45499999999999996</v>
      </c>
      <c r="N20" s="116">
        <v>2</v>
      </c>
      <c r="O20" s="127">
        <v>0.748</v>
      </c>
      <c r="P20" s="127">
        <v>0.71200000000000008</v>
      </c>
      <c r="Q20" s="127">
        <v>0.73499999999999999</v>
      </c>
      <c r="R20" s="127">
        <v>0.59799999999999998</v>
      </c>
      <c r="S20" s="127">
        <v>0.72400000000000009</v>
      </c>
      <c r="T20" s="127">
        <v>0.72400000000000009</v>
      </c>
      <c r="U20" s="127">
        <v>0.63600000000000001</v>
      </c>
      <c r="V20" s="127">
        <v>0.627</v>
      </c>
      <c r="W20" s="127">
        <v>0.72199999999999998</v>
      </c>
      <c r="X20" s="127">
        <v>0.66200000000000003</v>
      </c>
    </row>
    <row r="21" spans="1:24" ht="15.75">
      <c r="A21" s="164"/>
      <c r="B21" s="125">
        <v>2</v>
      </c>
      <c r="C21" s="126">
        <f t="shared" ref="C21:C29" si="2">O20-O$28</f>
        <v>0.29899999999999999</v>
      </c>
      <c r="D21" s="126">
        <f t="shared" si="1"/>
        <v>0.38900000000000012</v>
      </c>
      <c r="E21" s="126">
        <f t="shared" si="1"/>
        <v>0.28599999999999998</v>
      </c>
      <c r="F21" s="126">
        <f t="shared" si="1"/>
        <v>0.35099999999999998</v>
      </c>
      <c r="G21" s="126">
        <f t="shared" si="1"/>
        <v>0.34300000000000008</v>
      </c>
      <c r="H21" s="126">
        <f t="shared" si="1"/>
        <v>0.33400000000000007</v>
      </c>
      <c r="I21" s="126">
        <f t="shared" si="1"/>
        <v>0.35200000000000004</v>
      </c>
      <c r="J21" s="126">
        <f t="shared" si="1"/>
        <v>0.372</v>
      </c>
      <c r="K21" s="126">
        <f t="shared" si="1"/>
        <v>0.29699999999999999</v>
      </c>
      <c r="L21" s="126">
        <f t="shared" si="1"/>
        <v>0.33400000000000007</v>
      </c>
      <c r="N21" s="116">
        <v>3</v>
      </c>
      <c r="O21" s="127">
        <v>0.66099999999999992</v>
      </c>
      <c r="P21" s="127">
        <v>0.629</v>
      </c>
      <c r="Q21" s="127">
        <v>0.67</v>
      </c>
      <c r="R21" s="127">
        <v>0.45600000000000002</v>
      </c>
      <c r="S21" s="127">
        <v>0.622</v>
      </c>
      <c r="T21" s="127">
        <v>0.63100000000000001</v>
      </c>
      <c r="U21" s="127">
        <v>0.52300000000000002</v>
      </c>
      <c r="V21" s="127">
        <v>0.53299999999999992</v>
      </c>
      <c r="W21" s="127">
        <v>0.67400000000000004</v>
      </c>
      <c r="X21" s="127">
        <v>0.56600000000000006</v>
      </c>
    </row>
    <row r="22" spans="1:24" ht="15.75">
      <c r="A22" s="164"/>
      <c r="B22" s="125">
        <v>3</v>
      </c>
      <c r="C22" s="126">
        <f t="shared" si="2"/>
        <v>0.21199999999999991</v>
      </c>
      <c r="D22" s="126">
        <f t="shared" si="1"/>
        <v>0.30600000000000005</v>
      </c>
      <c r="E22" s="126">
        <f t="shared" si="1"/>
        <v>0.22100000000000003</v>
      </c>
      <c r="F22" s="126">
        <f t="shared" si="1"/>
        <v>0.20900000000000002</v>
      </c>
      <c r="G22" s="126">
        <f t="shared" si="1"/>
        <v>0.24099999999999999</v>
      </c>
      <c r="H22" s="126">
        <f t="shared" si="1"/>
        <v>0.24099999999999999</v>
      </c>
      <c r="I22" s="126">
        <f t="shared" si="1"/>
        <v>0.23900000000000005</v>
      </c>
      <c r="J22" s="126">
        <f t="shared" si="1"/>
        <v>0.27799999999999991</v>
      </c>
      <c r="K22" s="126">
        <f t="shared" si="1"/>
        <v>0.24900000000000005</v>
      </c>
      <c r="L22" s="126">
        <f t="shared" si="1"/>
        <v>0.2380000000000001</v>
      </c>
      <c r="N22" s="116">
        <v>4</v>
      </c>
      <c r="O22" s="127">
        <v>0.61199999999999999</v>
      </c>
      <c r="P22" s="127">
        <v>0.53799999999999992</v>
      </c>
      <c r="Q22" s="127">
        <v>0.629</v>
      </c>
      <c r="R22" s="127">
        <v>0.371</v>
      </c>
      <c r="S22" s="127">
        <v>0.54100000000000004</v>
      </c>
      <c r="T22" s="127">
        <v>0.56499999999999995</v>
      </c>
      <c r="U22" s="127">
        <v>0.45</v>
      </c>
      <c r="V22" s="127">
        <v>0.46399999999999997</v>
      </c>
      <c r="W22" s="127">
        <v>0.61299999999999999</v>
      </c>
      <c r="X22" s="127">
        <v>0.498</v>
      </c>
    </row>
    <row r="23" spans="1:24" ht="15.75">
      <c r="A23" s="164"/>
      <c r="B23" s="125">
        <v>4</v>
      </c>
      <c r="C23" s="126">
        <f t="shared" si="2"/>
        <v>0.16299999999999998</v>
      </c>
      <c r="D23" s="126">
        <f t="shared" si="1"/>
        <v>0.21499999999999997</v>
      </c>
      <c r="E23" s="126">
        <f t="shared" si="1"/>
        <v>0.18</v>
      </c>
      <c r="F23" s="126">
        <f t="shared" si="1"/>
        <v>0.124</v>
      </c>
      <c r="G23" s="126">
        <f t="shared" si="1"/>
        <v>0.16000000000000003</v>
      </c>
      <c r="H23" s="126">
        <f t="shared" si="1"/>
        <v>0.17499999999999993</v>
      </c>
      <c r="I23" s="126">
        <f t="shared" si="1"/>
        <v>0.16600000000000004</v>
      </c>
      <c r="J23" s="126">
        <f t="shared" si="1"/>
        <v>0.20899999999999996</v>
      </c>
      <c r="K23" s="126">
        <f t="shared" si="1"/>
        <v>0.188</v>
      </c>
      <c r="L23" s="126">
        <f t="shared" si="1"/>
        <v>0.17000000000000004</v>
      </c>
      <c r="N23" s="116">
        <v>5</v>
      </c>
      <c r="O23" s="127">
        <v>0.57399999999999995</v>
      </c>
      <c r="P23" s="127">
        <v>0.51200000000000001</v>
      </c>
      <c r="Q23" s="127">
        <v>0.56499999999999995</v>
      </c>
      <c r="R23" s="127">
        <v>0.33200000000000002</v>
      </c>
      <c r="S23" s="127">
        <v>0.49399999999999999</v>
      </c>
      <c r="T23" s="127">
        <v>0.52100000000000002</v>
      </c>
      <c r="U23" s="127">
        <v>0.41100000000000003</v>
      </c>
      <c r="V23" s="127">
        <v>0.41899999999999998</v>
      </c>
      <c r="W23" s="127">
        <v>0.55899999999999994</v>
      </c>
      <c r="X23" s="127">
        <v>0.45399999999999996</v>
      </c>
    </row>
    <row r="24" spans="1:24" ht="15.75">
      <c r="A24" s="164"/>
      <c r="B24" s="125">
        <v>5</v>
      </c>
      <c r="C24" s="126">
        <f t="shared" si="2"/>
        <v>0.12499999999999994</v>
      </c>
      <c r="D24" s="126">
        <f t="shared" si="1"/>
        <v>0.18900000000000006</v>
      </c>
      <c r="E24" s="126">
        <f t="shared" si="1"/>
        <v>0.11599999999999994</v>
      </c>
      <c r="F24" s="126">
        <f t="shared" si="1"/>
        <v>8.500000000000002E-2</v>
      </c>
      <c r="G24" s="126">
        <f t="shared" si="1"/>
        <v>0.11299999999999999</v>
      </c>
      <c r="H24" s="126">
        <f t="shared" si="1"/>
        <v>0.13100000000000001</v>
      </c>
      <c r="I24" s="126">
        <f t="shared" si="1"/>
        <v>0.12700000000000006</v>
      </c>
      <c r="J24" s="126">
        <f t="shared" si="1"/>
        <v>0.16399999999999998</v>
      </c>
      <c r="K24" s="126">
        <f t="shared" si="1"/>
        <v>0.13399999999999995</v>
      </c>
      <c r="L24" s="126">
        <f t="shared" si="1"/>
        <v>0.126</v>
      </c>
      <c r="N24" s="116">
        <v>6</v>
      </c>
      <c r="O24" s="127">
        <v>0.54100000000000004</v>
      </c>
      <c r="P24" s="127">
        <v>0.47200000000000003</v>
      </c>
      <c r="Q24" s="127">
        <v>0.55600000000000005</v>
      </c>
      <c r="R24" s="127">
        <v>0.30599999999999999</v>
      </c>
      <c r="S24" s="127">
        <v>0.46299999999999997</v>
      </c>
      <c r="T24" s="127">
        <v>0.48499999999999999</v>
      </c>
      <c r="U24" s="127">
        <v>0.377</v>
      </c>
      <c r="V24" s="127">
        <v>0.37200000000000005</v>
      </c>
      <c r="W24" s="127">
        <v>0.54799999999999993</v>
      </c>
      <c r="X24" s="127">
        <v>0.42299999999999999</v>
      </c>
    </row>
    <row r="25" spans="1:24" ht="15.75">
      <c r="A25" s="164"/>
      <c r="B25" s="125">
        <v>6</v>
      </c>
      <c r="C25" s="126">
        <f t="shared" si="2"/>
        <v>9.2000000000000026E-2</v>
      </c>
      <c r="D25" s="126">
        <f t="shared" si="1"/>
        <v>0.14900000000000008</v>
      </c>
      <c r="E25" s="126">
        <f t="shared" si="1"/>
        <v>0.10700000000000004</v>
      </c>
      <c r="F25" s="126">
        <f t="shared" si="1"/>
        <v>5.8999999999999997E-2</v>
      </c>
      <c r="G25" s="126">
        <f t="shared" si="1"/>
        <v>8.1999999999999962E-2</v>
      </c>
      <c r="H25" s="126">
        <f t="shared" si="1"/>
        <v>9.4999999999999973E-2</v>
      </c>
      <c r="I25" s="126">
        <f t="shared" si="1"/>
        <v>9.3000000000000027E-2</v>
      </c>
      <c r="J25" s="126">
        <f t="shared" si="1"/>
        <v>0.11700000000000005</v>
      </c>
      <c r="K25" s="126">
        <f t="shared" si="1"/>
        <v>0.12299999999999994</v>
      </c>
      <c r="L25" s="126">
        <f t="shared" si="1"/>
        <v>9.5000000000000029E-2</v>
      </c>
      <c r="N25" s="116">
        <v>7</v>
      </c>
      <c r="O25" s="127">
        <v>0.51600000000000001</v>
      </c>
      <c r="P25" s="127">
        <v>0.42899999999999999</v>
      </c>
      <c r="Q25" s="127">
        <v>0.51600000000000001</v>
      </c>
      <c r="R25" s="127">
        <v>0.28399999999999997</v>
      </c>
      <c r="S25" s="127">
        <v>0.43799999999999994</v>
      </c>
      <c r="T25" s="127">
        <v>0.45700000000000002</v>
      </c>
      <c r="U25" s="127">
        <v>0.34899999999999998</v>
      </c>
      <c r="V25" s="127">
        <v>0.34</v>
      </c>
      <c r="W25" s="127">
        <v>0.52900000000000003</v>
      </c>
      <c r="X25" s="127">
        <v>0.39600000000000002</v>
      </c>
    </row>
    <row r="26" spans="1:24" ht="15.75">
      <c r="A26" s="164"/>
      <c r="B26" s="125">
        <v>7</v>
      </c>
      <c r="C26" s="126">
        <f t="shared" si="2"/>
        <v>6.7000000000000004E-2</v>
      </c>
      <c r="D26" s="126">
        <f t="shared" si="1"/>
        <v>0.10600000000000004</v>
      </c>
      <c r="E26" s="126">
        <f t="shared" si="1"/>
        <v>6.7000000000000004E-2</v>
      </c>
      <c r="F26" s="126">
        <f t="shared" si="1"/>
        <v>3.6999999999999977E-2</v>
      </c>
      <c r="G26" s="126">
        <f t="shared" si="1"/>
        <v>5.699999999999994E-2</v>
      </c>
      <c r="H26" s="126">
        <f t="shared" si="1"/>
        <v>6.7000000000000004E-2</v>
      </c>
      <c r="I26" s="126">
        <f t="shared" si="1"/>
        <v>6.5000000000000002E-2</v>
      </c>
      <c r="J26" s="126">
        <f t="shared" si="1"/>
        <v>8.500000000000002E-2</v>
      </c>
      <c r="K26" s="126">
        <f t="shared" si="1"/>
        <v>0.10400000000000004</v>
      </c>
      <c r="L26" s="126">
        <f t="shared" si="1"/>
        <v>6.800000000000006E-2</v>
      </c>
      <c r="N26" s="116">
        <v>8</v>
      </c>
      <c r="O26" s="127">
        <v>0.495</v>
      </c>
      <c r="P26" s="127">
        <v>0.40500000000000003</v>
      </c>
      <c r="Q26" s="127">
        <v>0.503</v>
      </c>
      <c r="R26" s="127">
        <v>0.27100000000000002</v>
      </c>
      <c r="S26" s="127">
        <v>0.41499999999999998</v>
      </c>
      <c r="T26" s="127">
        <v>0.433</v>
      </c>
      <c r="U26" s="127">
        <v>0.32400000000000001</v>
      </c>
      <c r="V26" s="127">
        <v>0.314</v>
      </c>
      <c r="W26" s="127">
        <v>0.48399999999999999</v>
      </c>
      <c r="X26" s="127">
        <v>0.371</v>
      </c>
    </row>
    <row r="27" spans="1:24" ht="15.75">
      <c r="A27" s="164"/>
      <c r="B27" s="125">
        <v>8</v>
      </c>
      <c r="C27" s="126">
        <f t="shared" si="2"/>
        <v>4.5999999999999985E-2</v>
      </c>
      <c r="D27" s="126">
        <f t="shared" si="1"/>
        <v>8.2000000000000073E-2</v>
      </c>
      <c r="E27" s="126">
        <f t="shared" si="1"/>
        <v>5.3999999999999992E-2</v>
      </c>
      <c r="F27" s="126">
        <f t="shared" si="1"/>
        <v>2.4000000000000021E-2</v>
      </c>
      <c r="G27" s="126">
        <f t="shared" si="1"/>
        <v>3.3999999999999975E-2</v>
      </c>
      <c r="H27" s="126">
        <f t="shared" si="1"/>
        <v>4.2999999999999983E-2</v>
      </c>
      <c r="I27" s="126">
        <f t="shared" si="1"/>
        <v>4.0000000000000036E-2</v>
      </c>
      <c r="J27" s="126">
        <f t="shared" si="1"/>
        <v>5.8999999999999997E-2</v>
      </c>
      <c r="K27" s="126">
        <f t="shared" si="1"/>
        <v>5.8999999999999997E-2</v>
      </c>
      <c r="L27" s="126">
        <f t="shared" si="1"/>
        <v>4.3000000000000038E-2</v>
      </c>
      <c r="N27" s="116">
        <v>9</v>
      </c>
      <c r="O27" s="127">
        <v>0.46500000000000002</v>
      </c>
      <c r="P27" s="127">
        <v>0.371</v>
      </c>
      <c r="Q27" s="127">
        <v>0.47600000000000003</v>
      </c>
      <c r="R27" s="127">
        <v>0.25800000000000001</v>
      </c>
      <c r="S27" s="127">
        <v>0.4</v>
      </c>
      <c r="T27" s="127">
        <v>0.41</v>
      </c>
      <c r="U27" s="127">
        <v>0.30499999999999999</v>
      </c>
      <c r="V27" s="127">
        <v>0.27399999999999997</v>
      </c>
      <c r="W27" s="127">
        <v>0.45500000000000002</v>
      </c>
      <c r="X27" s="127">
        <v>0.34799999999999998</v>
      </c>
    </row>
    <row r="28" spans="1:24" ht="15.75">
      <c r="A28" s="165"/>
      <c r="B28" s="125">
        <v>9</v>
      </c>
      <c r="C28" s="126">
        <f t="shared" si="2"/>
        <v>1.6000000000000014E-2</v>
      </c>
      <c r="D28" s="126">
        <f t="shared" si="1"/>
        <v>4.8000000000000043E-2</v>
      </c>
      <c r="E28" s="126">
        <f t="shared" si="1"/>
        <v>2.7000000000000024E-2</v>
      </c>
      <c r="F28" s="126">
        <f t="shared" si="1"/>
        <v>1.100000000000001E-2</v>
      </c>
      <c r="G28" s="126">
        <f t="shared" si="1"/>
        <v>1.9000000000000017E-2</v>
      </c>
      <c r="H28" s="126">
        <f t="shared" si="1"/>
        <v>1.9999999999999962E-2</v>
      </c>
      <c r="I28" s="126">
        <f t="shared" si="1"/>
        <v>2.1000000000000019E-2</v>
      </c>
      <c r="J28" s="126">
        <f t="shared" si="1"/>
        <v>1.8999999999999961E-2</v>
      </c>
      <c r="K28" s="126">
        <f t="shared" si="1"/>
        <v>3.0000000000000027E-2</v>
      </c>
      <c r="L28" s="126">
        <f t="shared" si="1"/>
        <v>2.0000000000000018E-2</v>
      </c>
      <c r="N28" s="116">
        <v>10</v>
      </c>
      <c r="O28" s="127">
        <v>0.44900000000000001</v>
      </c>
      <c r="P28" s="127">
        <v>0.32299999999999995</v>
      </c>
      <c r="Q28" s="127">
        <v>0.44900000000000001</v>
      </c>
      <c r="R28" s="127">
        <v>0.247</v>
      </c>
      <c r="S28" s="127">
        <v>0.38100000000000001</v>
      </c>
      <c r="T28" s="127">
        <v>0.39</v>
      </c>
      <c r="U28" s="127">
        <v>0.28399999999999997</v>
      </c>
      <c r="V28" s="127">
        <v>0.255</v>
      </c>
      <c r="W28" s="127">
        <v>0.42499999999999999</v>
      </c>
      <c r="X28" s="127">
        <v>0.32799999999999996</v>
      </c>
    </row>
    <row r="29" spans="1:24" ht="15.75">
      <c r="B29" s="125">
        <v>10</v>
      </c>
      <c r="C29" s="126">
        <f t="shared" si="2"/>
        <v>0</v>
      </c>
      <c r="D29" s="126">
        <f t="shared" si="1"/>
        <v>0</v>
      </c>
      <c r="E29" s="126">
        <f t="shared" si="1"/>
        <v>0</v>
      </c>
      <c r="F29" s="126">
        <f t="shared" si="1"/>
        <v>0</v>
      </c>
      <c r="G29" s="126">
        <f t="shared" si="1"/>
        <v>0</v>
      </c>
      <c r="H29" s="126">
        <f t="shared" si="1"/>
        <v>0</v>
      </c>
      <c r="I29" s="126">
        <f t="shared" si="1"/>
        <v>0</v>
      </c>
      <c r="J29" s="126">
        <f t="shared" si="1"/>
        <v>0</v>
      </c>
      <c r="K29" s="126">
        <f t="shared" si="1"/>
        <v>0</v>
      </c>
      <c r="L29" s="126">
        <f t="shared" si="1"/>
        <v>0</v>
      </c>
    </row>
    <row r="30" spans="1:24" ht="15.75">
      <c r="A30" s="116" t="s">
        <v>698</v>
      </c>
      <c r="B30" s="128"/>
      <c r="C30" s="129"/>
      <c r="D30" s="129"/>
      <c r="E30" s="129"/>
      <c r="F30" s="129"/>
      <c r="G30" s="129"/>
      <c r="H30" s="129"/>
      <c r="I30" s="129"/>
      <c r="J30" s="129"/>
      <c r="K30" s="129"/>
      <c r="L30" s="129"/>
    </row>
    <row r="31" spans="1:24" s="130" customFormat="1" ht="15">
      <c r="A31" s="130" t="s">
        <v>699</v>
      </c>
      <c r="B31" s="116"/>
      <c r="C31" s="116"/>
      <c r="D31" s="116"/>
      <c r="E31" s="116"/>
      <c r="F31" s="116"/>
      <c r="G31" s="116"/>
      <c r="H31" s="116"/>
      <c r="I31" s="116"/>
      <c r="J31" s="116"/>
      <c r="K31" s="116"/>
      <c r="L31" s="116"/>
    </row>
    <row r="32" spans="1:24" ht="15">
      <c r="B32" s="130"/>
      <c r="C32" s="130"/>
      <c r="D32" s="130"/>
      <c r="E32" s="130"/>
      <c r="F32" s="130"/>
      <c r="G32" s="130"/>
      <c r="H32" s="130"/>
      <c r="I32" s="130"/>
      <c r="J32" s="130"/>
      <c r="K32" s="130"/>
      <c r="L32" s="130"/>
    </row>
    <row r="33" spans="1:1" ht="15.75">
      <c r="A33" s="131" t="s">
        <v>700</v>
      </c>
    </row>
    <row r="34" spans="1:1" ht="15">
      <c r="A34" s="130" t="s">
        <v>701</v>
      </c>
    </row>
    <row r="35" spans="1:1" ht="15">
      <c r="A35" s="130" t="s">
        <v>702</v>
      </c>
    </row>
    <row r="36" spans="1:1" ht="15">
      <c r="A36" s="130" t="s">
        <v>703</v>
      </c>
    </row>
    <row r="37" spans="1:1" ht="15">
      <c r="A37" s="130" t="s">
        <v>704</v>
      </c>
    </row>
  </sheetData>
  <mergeCells count="3">
    <mergeCell ref="A4:K4"/>
    <mergeCell ref="O17:X17"/>
    <mergeCell ref="A19:A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workbookViewId="0"/>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0.18</v>
      </c>
      <c r="D2" s="21">
        <f>C2</f>
        <v>0.18</v>
      </c>
      <c r="E2" s="21">
        <f>'Input Sheet'!C23</f>
        <v>0.17</v>
      </c>
      <c r="F2" s="21">
        <f>E2</f>
        <v>0.17</v>
      </c>
      <c r="G2" s="21">
        <f>F2</f>
        <v>0.17</v>
      </c>
      <c r="H2" s="21">
        <f>G2-((G2-'Input Sheet'!B27)/5)</f>
        <v>0.14434</v>
      </c>
      <c r="I2" s="21">
        <f>G2-((G2-'Input Sheet'!B27)/5)*2</f>
        <v>0.11868000000000001</v>
      </c>
      <c r="J2" s="21">
        <f>G2-((G2-'Input Sheet'!B27)/5)*3</f>
        <v>9.3019999999999992E-2</v>
      </c>
      <c r="K2" s="21">
        <f>G2-((G2-'Input Sheet'!B27)/5)*4</f>
        <v>6.7359999999999989E-2</v>
      </c>
      <c r="L2" s="21">
        <f>G2-((G2-'Input Sheet'!B27)/5)*5</f>
        <v>4.1699999999999987E-2</v>
      </c>
      <c r="M2" s="21">
        <f>L2</f>
        <v>4.1699999999999987E-2</v>
      </c>
    </row>
    <row r="3" spans="1:14">
      <c r="A3" s="3" t="s">
        <v>5</v>
      </c>
      <c r="B3" s="29">
        <f>'Input Sheet'!B8</f>
        <v>2388.29</v>
      </c>
      <c r="C3" s="29">
        <f>B3*(1+C2)</f>
        <v>2818.1821999999997</v>
      </c>
      <c r="D3" s="29">
        <f t="shared" ref="D3:L3" si="0">C3*(1+D2)</f>
        <v>3325.4549959999995</v>
      </c>
      <c r="E3" s="29">
        <f t="shared" si="0"/>
        <v>3890.782345319999</v>
      </c>
      <c r="F3" s="29">
        <f t="shared" si="0"/>
        <v>4552.2153440243983</v>
      </c>
      <c r="G3" s="29">
        <f t="shared" si="0"/>
        <v>5326.0919525085455</v>
      </c>
      <c r="H3" s="29">
        <f t="shared" si="0"/>
        <v>6094.8600649336286</v>
      </c>
      <c r="I3" s="29">
        <f t="shared" si="0"/>
        <v>6818.1980574399513</v>
      </c>
      <c r="J3" s="29">
        <f t="shared" si="0"/>
        <v>7452.4268407430163</v>
      </c>
      <c r="K3" s="29">
        <f t="shared" si="0"/>
        <v>7954.4223127354662</v>
      </c>
      <c r="L3" s="29">
        <f t="shared" si="0"/>
        <v>8286.1217231765349</v>
      </c>
      <c r="M3" s="45">
        <f>L3*(1+M2)</f>
        <v>8631.6529990329964</v>
      </c>
    </row>
    <row r="4" spans="1:14">
      <c r="A4" s="3" t="s">
        <v>350</v>
      </c>
      <c r="B4" s="21">
        <f>B5/B3</f>
        <v>0.17978134983607519</v>
      </c>
      <c r="C4" s="21">
        <f>'Input Sheet'!$B$24-(('Input Sheet'!$B$24-$B$4)/10)*(10-C1)</f>
        <v>0.18880321485246765</v>
      </c>
      <c r="D4" s="21">
        <f>'Input Sheet'!$B$24-(('Input Sheet'!$B$24-$B$4)/10)*(10-D1)</f>
        <v>0.19782507986886017</v>
      </c>
      <c r="E4" s="21">
        <f>'Input Sheet'!$B$24-(('Input Sheet'!$B$24-$B$4)/10)*(10-E1)</f>
        <v>0.20684694488525263</v>
      </c>
      <c r="F4" s="21">
        <f>'Input Sheet'!$B$24-(('Input Sheet'!$B$24-$B$4)/10)*(10-F1)</f>
        <v>0.21586880990164511</v>
      </c>
      <c r="G4" s="21">
        <f>'Input Sheet'!$B$24-(('Input Sheet'!$B$24-$B$4)/10)*(10-G1)</f>
        <v>0.2248906749180376</v>
      </c>
      <c r="H4" s="21">
        <f>'Input Sheet'!$B$24-(('Input Sheet'!$B$24-$B$4)/10)*(10-H1)</f>
        <v>0.23391253993443009</v>
      </c>
      <c r="I4" s="21">
        <f>'Input Sheet'!$B$24-(('Input Sheet'!$B$24-$B$4)/10)*(10-I1)</f>
        <v>0.24293440495082258</v>
      </c>
      <c r="J4" s="21">
        <f>'Input Sheet'!$B$24-(('Input Sheet'!$B$24-$B$4)/10)*(10-J1)</f>
        <v>0.25195626996721504</v>
      </c>
      <c r="K4" s="21">
        <f>'Input Sheet'!$B$24-(('Input Sheet'!$B$24-$B$4)/10)*(10-K1)</f>
        <v>0.26097813498360756</v>
      </c>
      <c r="L4" s="21">
        <f>'Input Sheet'!$B$24-(('Input Sheet'!$B$24-$B$4)/10)*(10-L1)</f>
        <v>0.27</v>
      </c>
      <c r="M4" s="21">
        <f>L4</f>
        <v>0.27</v>
      </c>
    </row>
    <row r="5" spans="1:14">
      <c r="A5" s="3" t="s">
        <v>351</v>
      </c>
      <c r="B5" s="30">
        <f>IF('Input Sheet'!B14="Yes",IF('Input Sheet'!B13="Yes",'Input Sheet'!B9+'Operating lease converter'!F32+'R&amp; D converter'!D39,'Input Sheet'!B9+'Operating lease converter'!F32),IF('Input Sheet'!B13="Yes",'Input Sheet'!B9+'R&amp; D converter'!D39,'Input Sheet'!B9))</f>
        <v>429.37</v>
      </c>
      <c r="C5" s="30">
        <f t="shared" ref="C5:M5" si="1">C4*C3</f>
        <v>532.08185939999987</v>
      </c>
      <c r="D5" s="30">
        <f t="shared" si="1"/>
        <v>657.85840018399995</v>
      </c>
      <c r="E5" s="30">
        <f t="shared" si="1"/>
        <v>804.79644134291982</v>
      </c>
      <c r="F5" s="30">
        <f t="shared" si="1"/>
        <v>982.68130873055486</v>
      </c>
      <c r="G5" s="30">
        <f t="shared" si="1"/>
        <v>1197.7884138751756</v>
      </c>
      <c r="H5" s="30">
        <f t="shared" si="1"/>
        <v>1425.6641983335505</v>
      </c>
      <c r="I5" s="30">
        <f t="shared" si="1"/>
        <v>1656.3748879210291</v>
      </c>
      <c r="J5" s="30">
        <f t="shared" si="1"/>
        <v>1877.6856689971669</v>
      </c>
      <c r="K5" s="30">
        <f t="shared" si="1"/>
        <v>2075.9303000496961</v>
      </c>
      <c r="L5" s="30">
        <f t="shared" si="1"/>
        <v>2237.2528652576648</v>
      </c>
      <c r="M5" s="30">
        <f t="shared" si="1"/>
        <v>2330.5463097389093</v>
      </c>
      <c r="N5" s="46">
        <f>M5-B5</f>
        <v>1901.1763097389094</v>
      </c>
    </row>
    <row r="6" spans="1:14">
      <c r="A6" s="3" t="s">
        <v>352</v>
      </c>
      <c r="B6" s="21">
        <f>'Input Sheet'!B20</f>
        <v>0.24390243902439024</v>
      </c>
      <c r="C6" s="21">
        <f>B6</f>
        <v>0.24390243902439024</v>
      </c>
      <c r="D6" s="21">
        <f>C6</f>
        <v>0.24390243902439024</v>
      </c>
      <c r="E6" s="21">
        <f>D6</f>
        <v>0.24390243902439024</v>
      </c>
      <c r="F6" s="21">
        <f>E6</f>
        <v>0.24390243902439024</v>
      </c>
      <c r="G6" s="21">
        <f>F6</f>
        <v>0.24390243902439024</v>
      </c>
      <c r="H6" s="21">
        <f>G6+($M$6-$G$6)/5</f>
        <v>0.24512195121951219</v>
      </c>
      <c r="I6" s="21">
        <f>H6+($M$6-$G$6)/5</f>
        <v>0.24634146341463414</v>
      </c>
      <c r="J6" s="21">
        <f>I6+($M$6-$G$6)/5</f>
        <v>0.2475609756097561</v>
      </c>
      <c r="K6" s="21">
        <f>J6+($M$6-$G$6)/5</f>
        <v>0.24878048780487805</v>
      </c>
      <c r="L6" s="21">
        <f>K6+($M$6-$G$6)/5</f>
        <v>0.25</v>
      </c>
      <c r="M6" s="21">
        <f>IF('Input Sheet'!B49="Yes",'Input Sheet'!B20,'Input Sheet'!B21)</f>
        <v>0.25</v>
      </c>
    </row>
    <row r="7" spans="1:14">
      <c r="A7" s="3" t="s">
        <v>353</v>
      </c>
      <c r="B7" s="29">
        <f>IF(B5&gt;0,B5*(1-B6),B5)</f>
        <v>324.64560975609754</v>
      </c>
      <c r="C7" s="29">
        <f>IF(C5&gt;0,IF(C5&lt;B10,C5,C5-(C5-B10)*C6),C5)</f>
        <v>402.30579613170721</v>
      </c>
      <c r="D7" s="29">
        <f t="shared" ref="D7:L7" si="2">IF(D5&gt;0,IF(D5&lt;C10,D5,D5-(D5-C10)*D6),D5)</f>
        <v>497.40513184643896</v>
      </c>
      <c r="E7" s="29">
        <f t="shared" si="2"/>
        <v>608.50462638123213</v>
      </c>
      <c r="F7" s="29">
        <f t="shared" si="2"/>
        <v>743.00294074749274</v>
      </c>
      <c r="G7" s="29">
        <f t="shared" si="2"/>
        <v>905.64489829586455</v>
      </c>
      <c r="H7" s="29">
        <f t="shared" si="2"/>
        <v>1076.2026082542291</v>
      </c>
      <c r="I7" s="29">
        <f t="shared" si="2"/>
        <v>1248.3410740673121</v>
      </c>
      <c r="J7" s="29">
        <f t="shared" si="2"/>
        <v>1412.8439728917706</v>
      </c>
      <c r="K7" s="29">
        <f t="shared" si="2"/>
        <v>1559.4793473544059</v>
      </c>
      <c r="L7" s="29">
        <f t="shared" si="2"/>
        <v>1677.9396489432486</v>
      </c>
      <c r="M7" s="29">
        <f>M5*(1-M6)</f>
        <v>1747.9097323041819</v>
      </c>
    </row>
    <row r="8" spans="1:14">
      <c r="A8" s="3" t="s">
        <v>354</v>
      </c>
      <c r="B8" s="47"/>
      <c r="C8" s="29">
        <f t="shared" ref="C8:L8" si="3">(C3-B3)/C38</f>
        <v>245.65268571428558</v>
      </c>
      <c r="D8" s="29">
        <f t="shared" si="3"/>
        <v>289.87016914285698</v>
      </c>
      <c r="E8" s="29">
        <f t="shared" si="3"/>
        <v>205.57358157090891</v>
      </c>
      <c r="F8" s="29">
        <f t="shared" si="3"/>
        <v>240.52109043796338</v>
      </c>
      <c r="G8" s="29">
        <f t="shared" si="3"/>
        <v>281.40967581241716</v>
      </c>
      <c r="H8" s="29">
        <f t="shared" si="3"/>
        <v>279.55204088184837</v>
      </c>
      <c r="I8" s="29">
        <f t="shared" si="3"/>
        <v>263.03199727502647</v>
      </c>
      <c r="J8" s="29">
        <f t="shared" si="3"/>
        <v>230.62864847384182</v>
      </c>
      <c r="K8" s="29">
        <f t="shared" si="3"/>
        <v>182.5438079972545</v>
      </c>
      <c r="L8" s="29">
        <f t="shared" si="3"/>
        <v>120.61796743311589</v>
      </c>
      <c r="M8" s="29">
        <f>(M2/M40)*M7</f>
        <v>520.62739883631684</v>
      </c>
      <c r="N8" s="46">
        <f>SUM(C8:M8)</f>
        <v>2860.0290635758361</v>
      </c>
    </row>
    <row r="9" spans="1:14">
      <c r="A9" s="3" t="s">
        <v>355</v>
      </c>
      <c r="B9" s="47"/>
      <c r="C9" s="29">
        <f t="shared" ref="C9:L9" si="4">C7-C8</f>
        <v>156.65311041742163</v>
      </c>
      <c r="D9" s="29">
        <f t="shared" si="4"/>
        <v>207.53496270358198</v>
      </c>
      <c r="E9" s="29">
        <f t="shared" si="4"/>
        <v>402.93104481032321</v>
      </c>
      <c r="F9" s="29">
        <f t="shared" si="4"/>
        <v>502.48185030952936</v>
      </c>
      <c r="G9" s="29">
        <f t="shared" si="4"/>
        <v>624.23522248344739</v>
      </c>
      <c r="H9" s="29">
        <f t="shared" si="4"/>
        <v>796.65056737238069</v>
      </c>
      <c r="I9" s="29">
        <f t="shared" si="4"/>
        <v>985.30907679228562</v>
      </c>
      <c r="J9" s="29">
        <f t="shared" si="4"/>
        <v>1182.2153244179287</v>
      </c>
      <c r="K9" s="29">
        <f t="shared" si="4"/>
        <v>1376.9355393571514</v>
      </c>
      <c r="L9" s="29">
        <f t="shared" si="4"/>
        <v>1557.3216815101327</v>
      </c>
      <c r="M9" s="29">
        <f>M7-M8</f>
        <v>1227.2823334678651</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8.3801813783256421E-2</v>
      </c>
      <c r="D12" s="21">
        <f>C12</f>
        <v>8.3801813783256421E-2</v>
      </c>
      <c r="E12" s="21">
        <f>D12</f>
        <v>8.3801813783256421E-2</v>
      </c>
      <c r="F12" s="21">
        <f>E12</f>
        <v>8.3801813783256421E-2</v>
      </c>
      <c r="G12" s="21">
        <f>F12</f>
        <v>8.3801813783256421E-2</v>
      </c>
      <c r="H12" s="21">
        <f>G12-($G$12-$M$12)/5</f>
        <v>8.4381451026605131E-2</v>
      </c>
      <c r="I12" s="21">
        <f>H12-($G$12-$M$12)/5</f>
        <v>8.4961088269953841E-2</v>
      </c>
      <c r="J12" s="21">
        <f>I12-($G$12-$M$12)/5</f>
        <v>8.5540725513302551E-2</v>
      </c>
      <c r="K12" s="21">
        <f>J12-($G$12-$M$12)/5</f>
        <v>8.6120362756651261E-2</v>
      </c>
      <c r="L12" s="21">
        <f>K12-($G$12-$M$12)/5</f>
        <v>8.6699999999999972E-2</v>
      </c>
      <c r="M12" s="21">
        <f>IF('Input Sheet'!B38="Yes",'Input Sheet'!B39,'Input Sheet'!B27+0.045)</f>
        <v>8.6699999999999999E-2</v>
      </c>
    </row>
    <row r="13" spans="1:14">
      <c r="A13" s="3" t="s">
        <v>358</v>
      </c>
      <c r="C13" s="48">
        <f>1/(1+C12)</f>
        <v>0.92267791701627888</v>
      </c>
      <c r="D13" s="48">
        <f>C13*(1/(1+D12))</f>
        <v>0.85133453854949925</v>
      </c>
      <c r="E13" s="48">
        <f t="shared" ref="E13:L13" si="6">D13*(1/(1+E12))</f>
        <v>0.78550757871286692</v>
      </c>
      <c r="F13" s="48">
        <f t="shared" si="6"/>
        <v>0.72477049652728875</v>
      </c>
      <c r="G13" s="48">
        <f t="shared" si="6"/>
        <v>0.668729732050653</v>
      </c>
      <c r="H13" s="48">
        <f t="shared" si="6"/>
        <v>0.61669233775398269</v>
      </c>
      <c r="I13" s="48">
        <f t="shared" si="6"/>
        <v>0.56840041953701925</v>
      </c>
      <c r="J13" s="48">
        <f t="shared" si="6"/>
        <v>0.52361040555917304</v>
      </c>
      <c r="K13" s="48">
        <f t="shared" si="6"/>
        <v>0.48209243055733925</v>
      </c>
      <c r="L13" s="48">
        <f t="shared" si="6"/>
        <v>0.44362973272967632</v>
      </c>
    </row>
    <row r="14" spans="1:14">
      <c r="A14" s="3" t="s">
        <v>359</v>
      </c>
      <c r="C14" s="29">
        <f t="shared" ref="C14:L14" si="7">C9*C13</f>
        <v>144.54036561406772</v>
      </c>
      <c r="D14" s="29">
        <f t="shared" si="7"/>
        <v>176.68168170614152</v>
      </c>
      <c r="E14" s="29">
        <f t="shared" si="7"/>
        <v>316.50538939720269</v>
      </c>
      <c r="F14" s="29">
        <f t="shared" si="7"/>
        <v>364.18402014478841</v>
      </c>
      <c r="G14" s="29">
        <f t="shared" si="7"/>
        <v>417.44465306793552</v>
      </c>
      <c r="H14" s="29">
        <f t="shared" si="7"/>
        <v>491.28830076591015</v>
      </c>
      <c r="I14" s="29">
        <f t="shared" si="7"/>
        <v>560.05009262236831</v>
      </c>
      <c r="J14" s="29">
        <f t="shared" si="7"/>
        <v>619.02024547674102</v>
      </c>
      <c r="K14" s="29">
        <f t="shared" si="7"/>
        <v>663.81020088946991</v>
      </c>
      <c r="L14" s="29">
        <f t="shared" si="7"/>
        <v>690.87420134247031</v>
      </c>
    </row>
    <row r="16" spans="1:14">
      <c r="A16" s="13" t="s">
        <v>360</v>
      </c>
      <c r="B16" s="29">
        <f>M9</f>
        <v>1227.2823334678651</v>
      </c>
    </row>
    <row r="17" spans="1:2">
      <c r="A17" s="3" t="s">
        <v>361</v>
      </c>
      <c r="B17" s="21">
        <f>M12</f>
        <v>8.6699999999999999E-2</v>
      </c>
    </row>
    <row r="18" spans="1:2">
      <c r="A18" s="3" t="s">
        <v>362</v>
      </c>
      <c r="B18" s="29">
        <f>B16/(B17-'Input Sheet'!B27)</f>
        <v>27272.940743730338</v>
      </c>
    </row>
    <row r="19" spans="1:2">
      <c r="A19" s="3" t="s">
        <v>363</v>
      </c>
      <c r="B19" s="29">
        <f>B18*L13</f>
        <v>12099.08741289339</v>
      </c>
    </row>
    <row r="20" spans="1:2">
      <c r="A20" s="3" t="s">
        <v>364</v>
      </c>
      <c r="B20" s="29">
        <f>SUM(C14:L14)</f>
        <v>4444.3991510270953</v>
      </c>
    </row>
    <row r="21" spans="1:2">
      <c r="A21" s="3" t="s">
        <v>365</v>
      </c>
      <c r="B21" s="29">
        <f>B19+B20</f>
        <v>16543.486563920487</v>
      </c>
    </row>
    <row r="22" spans="1:2">
      <c r="A22" s="3" t="s">
        <v>366</v>
      </c>
      <c r="B22" s="21">
        <f>IF('Input Sheet'!B44="Yes",'Input Sheet'!B45,0)</f>
        <v>0</v>
      </c>
    </row>
    <row r="23" spans="1:2">
      <c r="A23" s="3" t="s">
        <v>367</v>
      </c>
      <c r="B23" s="29">
        <f>IF('Input Sheet'!B46="B",('Input Sheet'!B11+'Input Sheet'!B12)*'Input Sheet'!B47,'Valuation Output'!B21*'Input Sheet'!B47)</f>
        <v>4159.0200000000004</v>
      </c>
    </row>
    <row r="24" spans="1:2">
      <c r="A24" s="3" t="s">
        <v>368</v>
      </c>
      <c r="B24" s="29">
        <f>B21*(1-B22)+B23*B22</f>
        <v>16543.486563920487</v>
      </c>
    </row>
    <row r="25" spans="1:2">
      <c r="A25" s="3" t="s">
        <v>369</v>
      </c>
      <c r="B25" s="29">
        <f>IF('Input Sheet'!B14="Yes",'Input Sheet'!B12+'Operating lease converter'!C28,'Input Sheet'!B12)+'Input Sheet'!F16</f>
        <v>1107.8800000000001</v>
      </c>
    </row>
    <row r="26" spans="1:2">
      <c r="A26" s="3" t="s">
        <v>370</v>
      </c>
      <c r="B26" s="29">
        <f>'Input Sheet'!B17</f>
        <v>0</v>
      </c>
    </row>
    <row r="27" spans="1:2">
      <c r="A27" s="3" t="s">
        <v>371</v>
      </c>
      <c r="B27" s="29">
        <f>IF('Input Sheet'!B54="YES",'Input Sheet'!B15-'Input Sheet'!B55*('Input Sheet'!B21-'Input Sheet'!B56),'Input Sheet'!B15)</f>
        <v>5229.88</v>
      </c>
    </row>
    <row r="28" spans="1:2">
      <c r="A28" s="3" t="s">
        <v>372</v>
      </c>
      <c r="B28" s="29">
        <f>'Input Sheet'!B16</f>
        <v>16</v>
      </c>
    </row>
    <row r="29" spans="1:2">
      <c r="A29" s="3" t="s">
        <v>373</v>
      </c>
      <c r="B29" s="29">
        <f>B24-B25-B26+B27+B28</f>
        <v>20681.486563920487</v>
      </c>
    </row>
    <row r="30" spans="1:2">
      <c r="A30" s="3" t="s">
        <v>374</v>
      </c>
      <c r="B30" s="29">
        <f>IF('Input Sheet'!B30="No",0,'Option value'!D27)</f>
        <v>0</v>
      </c>
    </row>
    <row r="31" spans="1:2">
      <c r="A31" s="3" t="s">
        <v>375</v>
      </c>
      <c r="B31" s="29">
        <f>B29-B30</f>
        <v>20681.486563920487</v>
      </c>
    </row>
    <row r="32" spans="1:2">
      <c r="A32" s="3" t="s">
        <v>376</v>
      </c>
      <c r="B32" s="23">
        <f>'Input Sheet'!B18</f>
        <v>408.36</v>
      </c>
    </row>
    <row r="33" spans="1:13">
      <c r="A33" s="3" t="s">
        <v>377</v>
      </c>
      <c r="B33" s="51">
        <f>B31/B32</f>
        <v>50.645231080224526</v>
      </c>
    </row>
    <row r="34" spans="1:13">
      <c r="A34" s="3" t="s">
        <v>378</v>
      </c>
      <c r="B34" s="29">
        <f>'Input Sheet'!B19</f>
        <v>83.45</v>
      </c>
    </row>
    <row r="35" spans="1:13">
      <c r="A35" s="27" t="s">
        <v>379</v>
      </c>
      <c r="B35" s="49">
        <f>B34/B33</f>
        <v>1.6477365828938784</v>
      </c>
      <c r="D35" s="50">
        <f>(B33-B34)/B34</f>
        <v>-0.39310687740893319</v>
      </c>
      <c r="E35" s="3" t="str">
        <f>IF(D35&gt;0,"upside","downside")</f>
        <v>downside</v>
      </c>
    </row>
    <row r="37" spans="1:13">
      <c r="A37" s="13" t="s">
        <v>380</v>
      </c>
      <c r="B37" s="13"/>
      <c r="M37" s="3" t="s">
        <v>598</v>
      </c>
    </row>
    <row r="38" spans="1:13">
      <c r="A38" s="3" t="s">
        <v>381</v>
      </c>
      <c r="C38" s="23">
        <f>'Input Sheet'!B25</f>
        <v>1.75</v>
      </c>
      <c r="D38" s="23">
        <f t="shared" ref="D38:L38" si="8">C38</f>
        <v>1.75</v>
      </c>
      <c r="E38" s="23">
        <f>'Input Sheet'!C25</f>
        <v>2.75</v>
      </c>
      <c r="F38" s="23">
        <f t="shared" si="8"/>
        <v>2.75</v>
      </c>
      <c r="G38" s="23">
        <f t="shared" si="8"/>
        <v>2.75</v>
      </c>
      <c r="H38" s="23">
        <f t="shared" si="8"/>
        <v>2.75</v>
      </c>
      <c r="I38" s="23">
        <f t="shared" si="8"/>
        <v>2.75</v>
      </c>
      <c r="J38" s="23">
        <f t="shared" si="8"/>
        <v>2.75</v>
      </c>
      <c r="K38" s="23">
        <f t="shared" si="8"/>
        <v>2.75</v>
      </c>
      <c r="L38" s="23">
        <f t="shared" si="8"/>
        <v>2.75</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3454.6600000000008</v>
      </c>
      <c r="C39" s="29">
        <f t="shared" ref="C39:L39" si="9">B39+C8</f>
        <v>3700.3126857142865</v>
      </c>
      <c r="D39" s="29">
        <f t="shared" si="9"/>
        <v>3990.1828548571434</v>
      </c>
      <c r="E39" s="29">
        <f t="shared" si="9"/>
        <v>4195.7564364280524</v>
      </c>
      <c r="F39" s="29">
        <f t="shared" si="9"/>
        <v>4436.2775268660162</v>
      </c>
      <c r="G39" s="29">
        <f t="shared" si="9"/>
        <v>4717.6872026784331</v>
      </c>
      <c r="H39" s="29">
        <f t="shared" si="9"/>
        <v>4997.2392435602815</v>
      </c>
      <c r="I39" s="29">
        <f t="shared" si="9"/>
        <v>5260.2712408353082</v>
      </c>
      <c r="J39" s="29">
        <f t="shared" si="9"/>
        <v>5490.8998893091502</v>
      </c>
      <c r="K39" s="29">
        <f t="shared" si="9"/>
        <v>5673.4436973064048</v>
      </c>
      <c r="L39" s="29">
        <f t="shared" si="9"/>
        <v>5794.0616647395209</v>
      </c>
    </row>
    <row r="40" spans="1:13">
      <c r="A40" s="3" t="s">
        <v>383</v>
      </c>
      <c r="B40" s="28">
        <f t="shared" ref="B40:L40" si="10">B7/B39</f>
        <v>9.3973244763912361E-2</v>
      </c>
      <c r="C40" s="28">
        <f t="shared" si="10"/>
        <v>0.10872210818422996</v>
      </c>
      <c r="D40" s="28">
        <f t="shared" si="10"/>
        <v>0.1246572274854424</v>
      </c>
      <c r="E40" s="28">
        <f t="shared" si="10"/>
        <v>0.14502858676402738</v>
      </c>
      <c r="F40" s="28">
        <f t="shared" si="10"/>
        <v>0.16748342191124888</v>
      </c>
      <c r="G40" s="28">
        <f t="shared" si="10"/>
        <v>0.19196798333337808</v>
      </c>
      <c r="H40" s="28">
        <f t="shared" si="10"/>
        <v>0.21535943263894824</v>
      </c>
      <c r="I40" s="28">
        <f t="shared" si="10"/>
        <v>0.23731496284383255</v>
      </c>
      <c r="J40" s="28">
        <f t="shared" si="10"/>
        <v>0.25730645274422054</v>
      </c>
      <c r="K40" s="28">
        <f t="shared" si="10"/>
        <v>0.27487350374073577</v>
      </c>
      <c r="L40" s="28">
        <f t="shared" si="10"/>
        <v>0.28959644305385251</v>
      </c>
      <c r="M40" s="28">
        <f>IF('Input Sheet'!B41="Yes",'Input Sheet'!B42,'Valuation Output'!L12)</f>
        <v>0.14000000000000001</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A5" workbookViewId="0">
      <selection activeCell="K51" sqref="K5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Yes</v>
      </c>
      <c r="T6" s="52" t="str">
        <f>IF(V7&gt;X7,"Yes","No")</f>
        <v>Yes</v>
      </c>
      <c r="V6" s="3" t="str">
        <f>'Input Sheet'!I21</f>
        <v>Company</v>
      </c>
      <c r="W6" s="3" t="str">
        <f>'Input Sheet'!J21</f>
        <v>Industry (US data)</v>
      </c>
      <c r="X6" s="3" t="str">
        <f>'Input Sheet'!K21</f>
        <v>Industry (Global data)</v>
      </c>
    </row>
    <row r="7" spans="16:24">
      <c r="Q7" s="3" t="str">
        <f>'Input Sheet'!E22</f>
        <v>Revenue growth in the most recent year =</v>
      </c>
      <c r="V7" s="53">
        <f>'Input Sheet'!I22</f>
        <v>0.12772604240307039</v>
      </c>
      <c r="W7" s="53">
        <f>'Input Sheet'!J22</f>
        <v>6.6924269662921379E-2</v>
      </c>
      <c r="X7" s="53">
        <f>'Input Sheet'!K22</f>
        <v>7.4751886503067494E-2</v>
      </c>
    </row>
    <row r="9" spans="16:24">
      <c r="Q9" s="1" t="s">
        <v>632</v>
      </c>
      <c r="S9" s="52" t="str">
        <f>IF(V10&lt;W10,"Yes","No")</f>
        <v>No</v>
      </c>
      <c r="T9" s="52" t="str">
        <f>IF(V10&lt;X10,"Yes","No")</f>
        <v>Yes</v>
      </c>
    </row>
    <row r="10" spans="16:24">
      <c r="Q10" s="3" t="s">
        <v>633</v>
      </c>
      <c r="V10" s="53">
        <f>'Valuation Output'!M12</f>
        <v>8.6699999999999999E-2</v>
      </c>
      <c r="W10" s="53">
        <f>'Input Sheet'!J27</f>
        <v>7.8564957246433781E-2</v>
      </c>
      <c r="X10" s="53">
        <f>'Input Sheet'!K27</f>
        <v>9.6381225103571791E-2</v>
      </c>
    </row>
    <row r="12" spans="16:24">
      <c r="P12" s="9" t="s">
        <v>634</v>
      </c>
    </row>
    <row r="14" spans="16:24">
      <c r="Q14" s="1" t="s">
        <v>635</v>
      </c>
      <c r="S14" s="52" t="str">
        <f>IF(V15&lt;W15,"Yes","No")</f>
        <v>Yes</v>
      </c>
      <c r="T14" s="52" t="str">
        <f>IF(V15&lt;X15,"Yes","No")</f>
        <v>Yes</v>
      </c>
    </row>
    <row r="15" spans="16:24">
      <c r="Q15" s="3" t="str">
        <f>'Input Sheet'!A25</f>
        <v>Sales to capital ratio  (for computing reinvestment) =</v>
      </c>
      <c r="V15" s="54">
        <f>'Input Sheet'!B25</f>
        <v>1.75</v>
      </c>
      <c r="W15" s="54">
        <f>'Input Sheet'!J24</f>
        <v>2.7218927299604339</v>
      </c>
      <c r="X15" s="54">
        <f>'Input Sheet'!K24</f>
        <v>2.715334288051404</v>
      </c>
    </row>
    <row r="16" spans="16:24">
      <c r="P16" s="9" t="s">
        <v>638</v>
      </c>
    </row>
    <row r="17" spans="1:20">
      <c r="Q17" s="1" t="s">
        <v>636</v>
      </c>
      <c r="S17" s="52" t="str">
        <f>IF(V15&gt;W15,"Yes","No")</f>
        <v>No</v>
      </c>
      <c r="T17" s="52" t="str">
        <f>IF(V15&gt;X15,"Yes","No")</f>
        <v>No</v>
      </c>
    </row>
    <row r="18" spans="1:20">
      <c r="P18" s="9" t="s">
        <v>637</v>
      </c>
    </row>
    <row r="19" spans="1:20">
      <c r="P19" s="9" t="s">
        <v>648</v>
      </c>
    </row>
    <row r="20" spans="1:20">
      <c r="P20" s="9" t="s">
        <v>649</v>
      </c>
    </row>
    <row r="27" spans="1:20">
      <c r="A27" s="3" t="s">
        <v>618</v>
      </c>
      <c r="C27" s="55">
        <f>'Valuation Output'!M3</f>
        <v>8631.6529990329964</v>
      </c>
      <c r="E27" s="9" t="s">
        <v>621</v>
      </c>
    </row>
    <row r="28" spans="1:20">
      <c r="A28" s="3" t="s">
        <v>619</v>
      </c>
      <c r="C28" s="53">
        <f>'Valuation Output'!M2</f>
        <v>4.1699999999999987E-2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0.2392152674849195</v>
      </c>
      <c r="C30" s="56">
        <f>('Valuation Output'!D7-'Valuation Output'!C7)/'Valuation Output'!C7</f>
        <v>0.23638569622695182</v>
      </c>
      <c r="D30" s="56">
        <f>('Valuation Output'!E7-'Valuation Output'!D7)/'Valuation Output'!D7</f>
        <v>0.22335815901692843</v>
      </c>
      <c r="E30" s="56">
        <f>('Valuation Output'!F7-'Valuation Output'!E7)/'Valuation Output'!E7</f>
        <v>0.22103088215798797</v>
      </c>
      <c r="F30" s="56">
        <f>('Valuation Output'!G7-'Valuation Output'!F7)/'Valuation Output'!F7</f>
        <v>0.21889813435293679</v>
      </c>
      <c r="G30" s="56">
        <f>('Valuation Output'!H7-'Valuation Output'!G7)/'Valuation Output'!G7</f>
        <v>0.18832735686945273</v>
      </c>
      <c r="H30" s="56">
        <f>('Valuation Output'!I7-'Valuation Output'!H7)/'Valuation Output'!H7</f>
        <v>0.15994986863330396</v>
      </c>
      <c r="I30" s="56">
        <f>('Valuation Output'!J7-'Valuation Output'!I7)/'Valuation Output'!I7</f>
        <v>0.13177720595900885</v>
      </c>
      <c r="J30" s="56">
        <f>('Valuation Output'!K7-'Valuation Output'!J7)/'Valuation Output'!J7</f>
        <v>0.1037873801184897</v>
      </c>
      <c r="K30" s="56">
        <f>('Valuation Output'!L7-'Valuation Output'!K7)/'Valuation Output'!K7</f>
        <v>7.59614430225099E-2</v>
      </c>
      <c r="L30" s="57">
        <f>('Valuation Output'!M7-'Valuation Output'!L7)/'Valuation Output'!L7</f>
        <v>4.1699999999999939E-2</v>
      </c>
      <c r="M30" s="58"/>
    </row>
    <row r="31" spans="1:20">
      <c r="A31" s="16" t="s">
        <v>622</v>
      </c>
      <c r="L31" s="17"/>
    </row>
    <row r="32" spans="1:20">
      <c r="A32" s="16"/>
      <c r="B32" s="53">
        <f>'Valuation Output'!C2</f>
        <v>0.18</v>
      </c>
      <c r="C32" s="53">
        <f>'Valuation Output'!D2</f>
        <v>0.18</v>
      </c>
      <c r="D32" s="53">
        <f>'Valuation Output'!E2</f>
        <v>0.17</v>
      </c>
      <c r="E32" s="53">
        <f>'Valuation Output'!F2</f>
        <v>0.17</v>
      </c>
      <c r="F32" s="53">
        <f>'Valuation Output'!G2</f>
        <v>0.17</v>
      </c>
      <c r="G32" s="53">
        <f>'Valuation Output'!H2</f>
        <v>0.14434</v>
      </c>
      <c r="H32" s="53">
        <f>'Valuation Output'!I2</f>
        <v>0.11868000000000001</v>
      </c>
      <c r="I32" s="53">
        <f>'Valuation Output'!J2</f>
        <v>9.3019999999999992E-2</v>
      </c>
      <c r="J32" s="53">
        <f>'Valuation Output'!K2</f>
        <v>6.7359999999999989E-2</v>
      </c>
      <c r="K32" s="53">
        <f>'Valuation Output'!L2</f>
        <v>4.1699999999999987E-2</v>
      </c>
      <c r="L32" s="59">
        <f>'Valuation Output'!M2</f>
        <v>4.1699999999999987E-2</v>
      </c>
    </row>
    <row r="33" spans="1:12">
      <c r="A33" s="16" t="s">
        <v>624</v>
      </c>
      <c r="L33" s="17"/>
    </row>
    <row r="34" spans="1:12">
      <c r="A34" s="16"/>
      <c r="B34" s="53">
        <f>B30-B32</f>
        <v>5.9215267484919509E-2</v>
      </c>
      <c r="C34" s="53">
        <f t="shared" ref="C34:L34" si="0">C30-C32</f>
        <v>5.6385696226951831E-2</v>
      </c>
      <c r="D34" s="53">
        <f t="shared" si="0"/>
        <v>5.3358159016928419E-2</v>
      </c>
      <c r="E34" s="53">
        <f t="shared" si="0"/>
        <v>5.1030882157987956E-2</v>
      </c>
      <c r="F34" s="53">
        <f t="shared" si="0"/>
        <v>4.8898134352936773E-2</v>
      </c>
      <c r="G34" s="53">
        <f t="shared" si="0"/>
        <v>4.3987356869452737E-2</v>
      </c>
      <c r="H34" s="53">
        <f t="shared" si="0"/>
        <v>4.1269868633303952E-2</v>
      </c>
      <c r="I34" s="53">
        <f t="shared" si="0"/>
        <v>3.8757205959008861E-2</v>
      </c>
      <c r="J34" s="53">
        <f t="shared" si="0"/>
        <v>3.6427380118489713E-2</v>
      </c>
      <c r="K34" s="53">
        <f t="shared" si="0"/>
        <v>3.4261443022509913E-2</v>
      </c>
      <c r="L34" s="59">
        <f t="shared" si="0"/>
        <v>0</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429</v>
      </c>
    </row>
    <row r="44" spans="1:12">
      <c r="I44" s="16" t="s">
        <v>653</v>
      </c>
      <c r="K44" s="92">
        <v>451</v>
      </c>
    </row>
    <row r="45" spans="1:12">
      <c r="A45" s="3" t="s">
        <v>639</v>
      </c>
      <c r="C45" s="55">
        <f>'Valuation Output'!B34</f>
        <v>83.45</v>
      </c>
      <c r="I45" s="16" t="s">
        <v>654</v>
      </c>
      <c r="K45" s="92">
        <v>432</v>
      </c>
    </row>
    <row r="46" spans="1:12">
      <c r="A46" s="3" t="s">
        <v>513</v>
      </c>
      <c r="C46" s="55">
        <f>'Valuation Output'!B33</f>
        <v>50.645231080224526</v>
      </c>
      <c r="I46" s="16" t="s">
        <v>655</v>
      </c>
      <c r="K46" s="62">
        <f>AVERAGE(K43:K45)</f>
        <v>437.33333333333331</v>
      </c>
    </row>
    <row r="47" spans="1:12">
      <c r="A47" s="3" t="s">
        <v>640</v>
      </c>
      <c r="C47" s="53">
        <f>'Cost of capital worksheet'!B48</f>
        <v>8.5062593447809448E-2</v>
      </c>
      <c r="I47" s="16"/>
      <c r="K47" s="17"/>
    </row>
    <row r="48" spans="1:12">
      <c r="A48" s="3" t="s">
        <v>641</v>
      </c>
      <c r="C48" s="53">
        <f>'Option value'!D6</f>
        <v>0</v>
      </c>
      <c r="I48" s="16" t="s">
        <v>656</v>
      </c>
      <c r="K48" s="92">
        <v>41</v>
      </c>
    </row>
    <row r="49" spans="1:11">
      <c r="A49" s="3" t="s">
        <v>642</v>
      </c>
      <c r="C49" s="53">
        <f>C47-C48</f>
        <v>8.5062593447809448E-2</v>
      </c>
      <c r="I49" s="16" t="s">
        <v>657</v>
      </c>
      <c r="K49" s="92">
        <v>69</v>
      </c>
    </row>
    <row r="50" spans="1:11">
      <c r="D50" s="3" t="s">
        <v>645</v>
      </c>
      <c r="E50" s="3" t="s">
        <v>646</v>
      </c>
      <c r="I50" s="16" t="s">
        <v>658</v>
      </c>
      <c r="K50" s="92">
        <v>109</v>
      </c>
    </row>
    <row r="51" spans="1:11">
      <c r="A51" s="3" t="s">
        <v>643</v>
      </c>
      <c r="C51" s="63">
        <f>C46*(1+(C47-C48))^1</f>
        <v>54.953245781672031</v>
      </c>
      <c r="D51" s="64">
        <f>(C51-$C$45)/$C$45</f>
        <v>-0.3414829744556977</v>
      </c>
      <c r="E51" s="53">
        <f>D51+C48</f>
        <v>-0.3414829744556977</v>
      </c>
      <c r="I51" s="16" t="s">
        <v>655</v>
      </c>
      <c r="K51" s="62">
        <f>AVERAGE(K48:K50)</f>
        <v>73</v>
      </c>
    </row>
    <row r="52" spans="1:11">
      <c r="A52" s="3" t="s">
        <v>644</v>
      </c>
      <c r="C52" s="63">
        <f>C46*(1+(C47-C48))^2</f>
        <v>59.627711386235958</v>
      </c>
      <c r="D52" s="64">
        <f>(C52-$C$45)/$C$45</f>
        <v>-0.28546780843336184</v>
      </c>
      <c r="E52" s="53">
        <f>D52+C48</f>
        <v>-0.28546780843336184</v>
      </c>
      <c r="I52" s="16"/>
      <c r="K52" s="17"/>
    </row>
    <row r="53" spans="1:11">
      <c r="I53" s="16" t="s">
        <v>659</v>
      </c>
      <c r="K53" s="62">
        <f>K46-K51</f>
        <v>364.33333333333331</v>
      </c>
    </row>
    <row r="54" spans="1:11">
      <c r="I54" s="16" t="s">
        <v>660</v>
      </c>
      <c r="K54" s="65">
        <f>K53/K51</f>
        <v>4.9908675799086755</v>
      </c>
    </row>
    <row r="55" spans="1:11">
      <c r="I55" s="16"/>
      <c r="K55" s="17"/>
    </row>
    <row r="56" spans="1:11">
      <c r="I56" s="16" t="s">
        <v>661</v>
      </c>
      <c r="K56" s="17"/>
    </row>
    <row r="57" spans="1:11">
      <c r="I57" s="66">
        <f>AVERAGE('Valuation Output'!K5:M5)</f>
        <v>2214.5764916820899</v>
      </c>
      <c r="K57" s="17"/>
    </row>
    <row r="58" spans="1:11">
      <c r="I58" s="16" t="s">
        <v>659</v>
      </c>
      <c r="K58" s="67">
        <f>I57-K46</f>
        <v>1777.2431583487567</v>
      </c>
    </row>
    <row r="59" spans="1:11">
      <c r="I59" s="26" t="s">
        <v>660</v>
      </c>
      <c r="J59" s="27"/>
      <c r="K59" s="68">
        <f>K58/K46</f>
        <v>4.0638181974438039</v>
      </c>
    </row>
    <row r="100" spans="9:13">
      <c r="I100" s="147" t="s">
        <v>664</v>
      </c>
      <c r="J100" s="147"/>
      <c r="K100" s="147"/>
      <c r="L100" s="147"/>
      <c r="M100" s="147"/>
    </row>
    <row r="101" spans="9:13">
      <c r="J101" s="3" t="s">
        <v>665</v>
      </c>
      <c r="K101" s="3" t="s">
        <v>666</v>
      </c>
      <c r="M101" s="1" t="s">
        <v>663</v>
      </c>
    </row>
    <row r="102" spans="9:13">
      <c r="J102" s="69">
        <v>1689</v>
      </c>
      <c r="K102" s="69">
        <v>1620</v>
      </c>
      <c r="M102" s="3">
        <f>'TTM Calc'!E7</f>
        <v>44.25</v>
      </c>
    </row>
    <row r="103" spans="9:13">
      <c r="I103" s="3" t="s">
        <v>667</v>
      </c>
      <c r="J103" s="69">
        <v>13535</v>
      </c>
      <c r="K103" s="69">
        <v>13264</v>
      </c>
      <c r="M103" s="1" t="s">
        <v>671</v>
      </c>
    </row>
    <row r="104" spans="9:13">
      <c r="I104" s="3" t="s">
        <v>668</v>
      </c>
      <c r="J104" s="70">
        <f>J102+J103</f>
        <v>15224</v>
      </c>
      <c r="K104" s="70">
        <f>K102+K103</f>
        <v>14884</v>
      </c>
      <c r="M104" s="3">
        <f>'TTM Calc'!E4+'TTM Calc'!E7</f>
        <v>384.37</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33"/>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83.45</v>
      </c>
    </row>
    <row r="3" spans="1:6">
      <c r="A3" s="3" t="s">
        <v>386</v>
      </c>
      <c r="D3" s="71">
        <f>'Input Sheet'!B32</f>
        <v>82.6</v>
      </c>
    </row>
    <row r="4" spans="1:6">
      <c r="A4" s="3" t="s">
        <v>387</v>
      </c>
      <c r="D4" s="47">
        <f>'Input Sheet'!B33</f>
        <v>5.6</v>
      </c>
    </row>
    <row r="5" spans="1:6">
      <c r="A5" s="3" t="s">
        <v>388</v>
      </c>
      <c r="D5" s="21">
        <f>'Input Sheet'!B34</f>
        <v>0.184</v>
      </c>
    </row>
    <row r="6" spans="1:6">
      <c r="A6" s="3" t="s">
        <v>389</v>
      </c>
      <c r="D6" s="72">
        <v>0</v>
      </c>
    </row>
    <row r="7" spans="1:6">
      <c r="A7" s="3" t="s">
        <v>390</v>
      </c>
      <c r="D7" s="21">
        <f>'Input Sheet'!B27</f>
        <v>4.1700000000000001E-2</v>
      </c>
    </row>
    <row r="8" spans="1:6">
      <c r="A8" s="3" t="s">
        <v>391</v>
      </c>
      <c r="D8" s="23">
        <f>'Input Sheet'!B31</f>
        <v>3.6</v>
      </c>
    </row>
    <row r="9" spans="1:6">
      <c r="A9" s="3" t="s">
        <v>392</v>
      </c>
      <c r="D9" s="47">
        <f>'Input Sheet'!B18</f>
        <v>408.36</v>
      </c>
    </row>
    <row r="11" spans="1:6">
      <c r="A11" s="3" t="s">
        <v>393</v>
      </c>
    </row>
    <row r="12" spans="1:6">
      <c r="A12" s="3" t="s">
        <v>394</v>
      </c>
    </row>
    <row r="13" spans="1:6">
      <c r="A13" s="3" t="s">
        <v>395</v>
      </c>
      <c r="C13" s="29">
        <f>D2</f>
        <v>83.45</v>
      </c>
      <c r="D13" s="3" t="s">
        <v>406</v>
      </c>
      <c r="F13" s="23">
        <f>D8</f>
        <v>3.6</v>
      </c>
    </row>
    <row r="14" spans="1:6">
      <c r="A14" s="3" t="s">
        <v>396</v>
      </c>
      <c r="C14" s="71">
        <f>D3</f>
        <v>82.6</v>
      </c>
      <c r="D14" s="3" t="s">
        <v>407</v>
      </c>
      <c r="F14" s="47">
        <f>D9</f>
        <v>408.36</v>
      </c>
    </row>
    <row r="15" spans="1:6">
      <c r="A15" s="3" t="s">
        <v>397</v>
      </c>
      <c r="C15" s="47">
        <f ca="1">(C13*F14+C26*F13)/(F14+F13)</f>
        <v>82.924889974764426</v>
      </c>
      <c r="D15" s="3" t="s">
        <v>408</v>
      </c>
      <c r="F15" s="21">
        <f>D7</f>
        <v>4.1700000000000001E-2</v>
      </c>
    </row>
    <row r="16" spans="1:6">
      <c r="A16" s="3" t="s">
        <v>398</v>
      </c>
      <c r="C16" s="71">
        <f>C14</f>
        <v>82.6</v>
      </c>
      <c r="D16" s="3" t="s">
        <v>409</v>
      </c>
      <c r="F16" s="47">
        <f>D5^2</f>
        <v>3.3855999999999997E-2</v>
      </c>
    </row>
    <row r="17" spans="1:6">
      <c r="A17" s="3" t="s">
        <v>399</v>
      </c>
      <c r="C17" s="47">
        <f>D4</f>
        <v>5.6</v>
      </c>
      <c r="D17" s="3" t="s">
        <v>410</v>
      </c>
      <c r="F17" s="47">
        <f>D6</f>
        <v>0</v>
      </c>
    </row>
    <row r="18" spans="1:6">
      <c r="D18" s="3" t="s">
        <v>411</v>
      </c>
      <c r="F18" s="21">
        <f>F15-F17</f>
        <v>4.1700000000000001E-2</v>
      </c>
    </row>
    <row r="20" spans="1:6">
      <c r="A20" s="3" t="s">
        <v>400</v>
      </c>
      <c r="B20" s="47">
        <f ca="1">(LN(C15/C16)+(F18+(F16/2))*C17)/(((F16)^(0.5))*(C17^0.5))</f>
        <v>0.7630327688755526</v>
      </c>
    </row>
    <row r="21" spans="1:6">
      <c r="A21" s="3" t="s">
        <v>401</v>
      </c>
      <c r="B21" s="47">
        <f ca="1">NORMSDIST(B20)</f>
        <v>0.77727807331217658</v>
      </c>
    </row>
    <row r="23" spans="1:6">
      <c r="A23" s="3" t="s">
        <v>402</v>
      </c>
      <c r="B23" s="47">
        <f ca="1">B20-((F16^0.5)*(C17^(0.5)))</f>
        <v>0.32760929683942086</v>
      </c>
    </row>
    <row r="24" spans="1:6">
      <c r="A24" s="3" t="s">
        <v>403</v>
      </c>
      <c r="B24" s="47">
        <f ca="1">NORMSDIST(B23)</f>
        <v>0.62839645415100576</v>
      </c>
    </row>
    <row r="26" spans="1:6">
      <c r="A26" s="3" t="s">
        <v>404</v>
      </c>
      <c r="C26" s="47">
        <f ca="1">((EXP((0-F17)*C17))*C15*B21-C16*(EXP((0-F15)*C17))*B24)</f>
        <v>23.359909445543074</v>
      </c>
    </row>
    <row r="27" spans="1:6">
      <c r="A27" s="3" t="s">
        <v>405</v>
      </c>
      <c r="D27" s="47">
        <f ca="1">C26*D8</f>
        <v>84.095674003955068</v>
      </c>
    </row>
    <row r="32" spans="1:6">
      <c r="A32" s="151" t="s">
        <v>707</v>
      </c>
      <c r="B32" s="152"/>
      <c r="C32" s="152"/>
      <c r="D32" s="152"/>
    </row>
    <row r="33" spans="1:4" ht="59.25" customHeight="1">
      <c r="A33" s="151"/>
      <c r="B33" s="152"/>
      <c r="C33" s="152"/>
      <c r="D33" s="152"/>
    </row>
  </sheetData>
  <mergeCells count="1">
    <mergeCell ref="A32:D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B13" sqref="B13"/>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256</v>
      </c>
      <c r="G7" s="74" t="s">
        <v>432</v>
      </c>
    </row>
    <row r="8" spans="1:7">
      <c r="A8" s="3" t="s">
        <v>418</v>
      </c>
    </row>
    <row r="9" spans="1:7">
      <c r="A9" s="3" t="s">
        <v>419</v>
      </c>
    </row>
    <row r="10" spans="1:7">
      <c r="A10" s="1" t="s">
        <v>420</v>
      </c>
      <c r="B10" s="1" t="s">
        <v>435</v>
      </c>
    </row>
    <row r="11" spans="1:7">
      <c r="A11" s="1">
        <v>-1</v>
      </c>
      <c r="B11" s="90">
        <v>221</v>
      </c>
      <c r="C11" s="75" t="s">
        <v>433</v>
      </c>
    </row>
    <row r="12" spans="1:7">
      <c r="A12" s="1">
        <f t="shared" ref="A12:A20" si="0">IF((0-A11)&lt;$F$6,IF(A11&gt;-1,,A11-1),)</f>
        <v>-2</v>
      </c>
      <c r="B12" s="90">
        <v>201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256</v>
      </c>
      <c r="C24" s="47">
        <f>1</f>
        <v>1</v>
      </c>
      <c r="D24" s="47">
        <f t="shared" ref="D24:D34" si="1">B24*C24</f>
        <v>256</v>
      </c>
    </row>
    <row r="25" spans="1:5">
      <c r="A25" s="1">
        <f t="shared" ref="A25:B34" si="2">A11</f>
        <v>-1</v>
      </c>
      <c r="B25" s="47">
        <f t="shared" si="2"/>
        <v>221</v>
      </c>
      <c r="C25" s="47">
        <f t="shared" ref="C25:C34" si="3">IF(A25&lt;0,($F$6+A25)/$F$6,0)</f>
        <v>0.5</v>
      </c>
      <c r="D25" s="47">
        <f t="shared" si="1"/>
        <v>110.5</v>
      </c>
      <c r="E25" s="47">
        <f t="shared" ref="E25:E34" si="4">IF(A25&lt;0,B25/$F$6,0)</f>
        <v>110.5</v>
      </c>
    </row>
    <row r="26" spans="1:5">
      <c r="A26" s="1">
        <f t="shared" si="2"/>
        <v>-2</v>
      </c>
      <c r="B26" s="47">
        <f t="shared" si="2"/>
        <v>201</v>
      </c>
      <c r="C26" s="47">
        <f t="shared" si="3"/>
        <v>0</v>
      </c>
      <c r="D26" s="47">
        <f t="shared" si="1"/>
        <v>0</v>
      </c>
      <c r="E26" s="47">
        <f t="shared" si="4"/>
        <v>100.5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366.5</v>
      </c>
      <c r="E35" s="47">
        <f>SUM(E25:E34)</f>
        <v>211</v>
      </c>
    </row>
    <row r="37" spans="1:5">
      <c r="A37" s="3" t="s">
        <v>424</v>
      </c>
      <c r="D37" s="47">
        <f>E35</f>
        <v>211</v>
      </c>
    </row>
    <row r="39" spans="1:5">
      <c r="A39" s="3" t="s">
        <v>425</v>
      </c>
      <c r="D39" s="47">
        <f>F7-D37</f>
        <v>45</v>
      </c>
      <c r="E39" s="3" t="s">
        <v>430</v>
      </c>
    </row>
    <row r="40" spans="1:5">
      <c r="A40" s="3" t="s">
        <v>426</v>
      </c>
      <c r="D40" s="47">
        <f>D39*'Input Sheet'!B21</f>
        <v>11.25</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4.9100000000000005E-2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44.609665427509292</v>
      </c>
    </row>
    <row r="23" spans="1:7">
      <c r="A23" s="1">
        <f t="shared" si="0"/>
        <v>2</v>
      </c>
      <c r="B23" s="47">
        <f t="shared" si="0"/>
        <v>45.2</v>
      </c>
      <c r="C23" s="47">
        <f>B23/(1+$C$15)^A23</f>
        <v>41.068104719051426</v>
      </c>
    </row>
    <row r="24" spans="1:7">
      <c r="A24" s="1">
        <f t="shared" si="0"/>
        <v>3</v>
      </c>
      <c r="B24" s="47">
        <f t="shared" si="0"/>
        <v>39.5</v>
      </c>
      <c r="C24" s="47">
        <f>B24/(1+$C$15)^A24</f>
        <v>34.2094769896011</v>
      </c>
    </row>
    <row r="25" spans="1:7">
      <c r="A25" s="1">
        <f t="shared" si="0"/>
        <v>4</v>
      </c>
      <c r="B25" s="47">
        <f t="shared" si="0"/>
        <v>35.9</v>
      </c>
      <c r="C25" s="47">
        <f>B25/(1+$C$15)^A25</f>
        <v>29.636499131303133</v>
      </c>
    </row>
    <row r="26" spans="1:7">
      <c r="A26" s="1">
        <f t="shared" si="0"/>
        <v>5</v>
      </c>
      <c r="B26" s="47">
        <f t="shared" si="0"/>
        <v>34.700000000000003</v>
      </c>
      <c r="C26" s="47">
        <f>B26/(1+$C$15)^A26</f>
        <v>27.305179737725027</v>
      </c>
    </row>
    <row r="27" spans="1:7">
      <c r="A27" s="1" t="str">
        <f>A12</f>
        <v>6 and beyond</v>
      </c>
      <c r="B27" s="47">
        <f>IF(B12&gt;0,IF(D18&gt;0,B12/D18,B12),0)</f>
        <v>40.880000000000003</v>
      </c>
      <c r="C27" s="47">
        <f>IF(D18&gt;0,(B27*(1-(1+C15)^(-D18))/C15)/(1+$C$15)^5,B27/(1+C15)^6)</f>
        <v>139.61854493941303</v>
      </c>
      <c r="D27" s="3" t="s">
        <v>452</v>
      </c>
    </row>
    <row r="28" spans="1:7">
      <c r="A28" s="1" t="s">
        <v>442</v>
      </c>
      <c r="C28" s="47">
        <f>SUM(C22:C27)</f>
        <v>316.44747094460303</v>
      </c>
    </row>
    <row r="30" spans="1:7">
      <c r="A30" s="1" t="s">
        <v>443</v>
      </c>
    </row>
    <row r="31" spans="1:7">
      <c r="A31" s="3" t="s">
        <v>444</v>
      </c>
      <c r="F31" s="47">
        <f>C28/(5+D18)</f>
        <v>31.644747094460303</v>
      </c>
      <c r="G31" s="74" t="s">
        <v>455</v>
      </c>
    </row>
    <row r="32" spans="1:7">
      <c r="A32" s="3" t="s">
        <v>445</v>
      </c>
      <c r="F32" s="47">
        <f>E4-F31</f>
        <v>17.355252905539697</v>
      </c>
      <c r="G32" s="74" t="s">
        <v>456</v>
      </c>
    </row>
    <row r="33" spans="1:7">
      <c r="A33" s="3" t="s">
        <v>446</v>
      </c>
      <c r="F33" s="47">
        <f>C28</f>
        <v>316.44747094460303</v>
      </c>
      <c r="G33" s="74" t="s">
        <v>457</v>
      </c>
    </row>
    <row r="34" spans="1:7">
      <c r="A34" s="3" t="s">
        <v>447</v>
      </c>
      <c r="F34" s="47">
        <f>C28/(5+D18)</f>
        <v>31.644747094460303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workbookViewId="0">
      <selection activeCell="I24" sqref="I24"/>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4.4999999999999998E-2</v>
      </c>
      <c r="K3" s="21">
        <f t="shared" ref="K3:K13" si="0">IF(I3&gt;0,I3/$I$14,)</f>
        <v>0.90580448065173114</v>
      </c>
      <c r="L3" s="21">
        <f t="shared" ref="L3:L13" si="1">IF(K3=0,0,J3*K3)</f>
        <v>4.0761201629327899E-2</v>
      </c>
    </row>
    <row r="4" spans="1:12">
      <c r="A4" s="3" t="s">
        <v>462</v>
      </c>
      <c r="B4" s="47">
        <f>'Input Sheet'!B18</f>
        <v>408.36</v>
      </c>
      <c r="H4" s="90" t="s">
        <v>72</v>
      </c>
      <c r="I4" s="90">
        <v>279.5</v>
      </c>
      <c r="J4" s="21">
        <f>IF(I4=0,0,VLOOKUP(H4,'Country equity risk premiums'!$A$2:$D$152,4))</f>
        <v>4.4999999999999998E-2</v>
      </c>
      <c r="K4" s="21">
        <f t="shared" si="0"/>
        <v>6.4687094982410667E-2</v>
      </c>
      <c r="L4" s="21">
        <f t="shared" si="1"/>
        <v>2.9109192742084798E-3</v>
      </c>
    </row>
    <row r="5" spans="1:12">
      <c r="A5" s="3" t="s">
        <v>463</v>
      </c>
      <c r="B5" s="29">
        <f>'Input Sheet'!B19</f>
        <v>83.45</v>
      </c>
      <c r="H5" s="90" t="s">
        <v>192</v>
      </c>
      <c r="I5" s="90">
        <v>127.5</v>
      </c>
      <c r="J5" s="21">
        <f>IF(I5=0,0,VLOOKUP(H5,'Country equity risk premiums'!$A$2:$D$152,4))</f>
        <v>5.3766504142051808E-2</v>
      </c>
      <c r="K5" s="21">
        <f t="shared" si="0"/>
        <v>2.9508424365858172E-2</v>
      </c>
      <c r="L5" s="21">
        <f t="shared" si="1"/>
        <v>1.5865648208923358E-3</v>
      </c>
    </row>
    <row r="6" spans="1:12">
      <c r="H6" s="90"/>
      <c r="I6" s="90"/>
      <c r="J6" s="21">
        <f>IF(I6=0,0,VLOOKUP(H6,'Country equity risk premiums'!$A$2:$D$152,4))</f>
        <v>0</v>
      </c>
      <c r="K6" s="21">
        <f t="shared" si="0"/>
        <v>0</v>
      </c>
      <c r="L6" s="21">
        <f t="shared" si="1"/>
        <v>0</v>
      </c>
    </row>
    <row r="7" spans="1:12">
      <c r="A7" s="3" t="s">
        <v>464</v>
      </c>
      <c r="B7" s="90" t="s">
        <v>556</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0.92964265743301178</v>
      </c>
      <c r="H9" s="90"/>
      <c r="I9" s="90"/>
      <c r="J9" s="21">
        <f>IF(I9=0,0,VLOOKUP(H9,'Country equity risk premiums'!$A$2:$D$152,4))</f>
        <v>0</v>
      </c>
      <c r="K9" s="21">
        <f t="shared" si="0"/>
        <v>0</v>
      </c>
      <c r="L9" s="21">
        <f t="shared" si="1"/>
        <v>0</v>
      </c>
    </row>
    <row r="10" spans="1:12">
      <c r="A10" s="3" t="s">
        <v>467</v>
      </c>
      <c r="B10" s="21">
        <f>'Input Sheet'!B27</f>
        <v>4.1700000000000001E-2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4.5723999999999994E-2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4.5258685724428718E-2</v>
      </c>
    </row>
    <row r="15" spans="1:12">
      <c r="A15" s="3" t="s">
        <v>471</v>
      </c>
      <c r="H15" s="3" t="s">
        <v>506</v>
      </c>
    </row>
    <row r="16" spans="1:12">
      <c r="A16" s="3" t="s">
        <v>472</v>
      </c>
      <c r="B16" s="29">
        <f>'Input Sheet'!B12</f>
        <v>1107.8800000000001</v>
      </c>
      <c r="H16" s="12" t="s">
        <v>36</v>
      </c>
      <c r="I16" s="13" t="s">
        <v>5</v>
      </c>
      <c r="J16" s="13" t="s">
        <v>510</v>
      </c>
      <c r="K16" s="13" t="s">
        <v>512</v>
      </c>
      <c r="L16" s="14" t="s">
        <v>514</v>
      </c>
    </row>
    <row r="17" spans="1:12">
      <c r="A17" s="3" t="s">
        <v>473</v>
      </c>
      <c r="B17" s="29">
        <f>'Input Sheet'!B10</f>
        <v>0</v>
      </c>
      <c r="H17" s="90" t="str">
        <f>'Country equity risk premiums'!A156</f>
        <v>Africa</v>
      </c>
      <c r="I17" s="90">
        <v>0</v>
      </c>
      <c r="J17" s="21">
        <f>'Country equity risk premiums'!B156</f>
        <v>0.13663852306889546</v>
      </c>
      <c r="K17" s="21">
        <f t="shared" ref="K17:K26" si="2">I17/$I$27</f>
        <v>0</v>
      </c>
      <c r="L17" s="21">
        <f t="shared" ref="L17:L26" si="3">J17*K17</f>
        <v>0</v>
      </c>
    </row>
    <row r="18" spans="1:12">
      <c r="A18" s="3" t="s">
        <v>474</v>
      </c>
      <c r="B18" s="90">
        <v>4</v>
      </c>
      <c r="H18" s="90" t="str">
        <f>'Country equity risk premiums'!A157</f>
        <v>Asia</v>
      </c>
      <c r="I18" s="90">
        <v>0</v>
      </c>
      <c r="J18" s="21">
        <f>'Country equity risk premiums'!B157</f>
        <v>6.1805405008578562E-2</v>
      </c>
      <c r="K18" s="21">
        <f t="shared" si="2"/>
        <v>0</v>
      </c>
      <c r="L18" s="21">
        <f t="shared" si="3"/>
        <v>0</v>
      </c>
    </row>
    <row r="19" spans="1:12">
      <c r="A19" s="3" t="s">
        <v>475</v>
      </c>
      <c r="B19" s="90" t="s">
        <v>499</v>
      </c>
      <c r="H19" s="90" t="str">
        <f>'Country equity risk premiums'!A158</f>
        <v>Australia &amp; New Zealand</v>
      </c>
      <c r="I19" s="90">
        <v>0</v>
      </c>
      <c r="J19" s="21">
        <f>'Country equity risk premiums'!B158</f>
        <v>4.5047923618641933E-2</v>
      </c>
      <c r="K19" s="21">
        <f t="shared" si="2"/>
        <v>0</v>
      </c>
      <c r="L19" s="21">
        <f t="shared" si="3"/>
        <v>0</v>
      </c>
    </row>
    <row r="20" spans="1:12">
      <c r="A20" s="3" t="s">
        <v>476</v>
      </c>
      <c r="B20" s="91">
        <v>3.5000000000000003E-2</v>
      </c>
      <c r="H20" s="90" t="str">
        <f>'Country equity risk premiums'!A159</f>
        <v>Caribbean</v>
      </c>
      <c r="I20" s="90">
        <v>0</v>
      </c>
      <c r="J20" s="21">
        <f>'Country equity risk premiums'!B159</f>
        <v>0.1865348819700155</v>
      </c>
      <c r="K20" s="21">
        <f t="shared" si="2"/>
        <v>0</v>
      </c>
      <c r="L20" s="21">
        <f t="shared" si="3"/>
        <v>0</v>
      </c>
    </row>
    <row r="21" spans="1:12">
      <c r="A21" s="3" t="s">
        <v>477</v>
      </c>
      <c r="B21" s="90" t="s">
        <v>500</v>
      </c>
      <c r="H21" s="90" t="str">
        <f>'Country equity risk premiums'!A160</f>
        <v>Central and South America</v>
      </c>
      <c r="I21" s="90">
        <v>0</v>
      </c>
      <c r="J21" s="21">
        <f>'Country equity risk premiums'!B160</f>
        <v>0.10261091058162494</v>
      </c>
      <c r="K21" s="21">
        <f t="shared" si="2"/>
        <v>0</v>
      </c>
      <c r="L21" s="21">
        <f t="shared" si="3"/>
        <v>0</v>
      </c>
    </row>
    <row r="22" spans="1:12">
      <c r="A22" s="3" t="s">
        <v>478</v>
      </c>
      <c r="B22" s="90">
        <v>1</v>
      </c>
      <c r="H22" s="90" t="str">
        <f>'Country equity risk premiums'!A161</f>
        <v>Eastern Europe &amp; Russia</v>
      </c>
      <c r="I22" s="90">
        <v>0</v>
      </c>
      <c r="J22" s="21">
        <f>'Country equity risk premiums'!B161</f>
        <v>9.5579383477192262E-2</v>
      </c>
      <c r="K22" s="21">
        <f t="shared" si="2"/>
        <v>0</v>
      </c>
      <c r="L22" s="21">
        <f t="shared" si="3"/>
        <v>0</v>
      </c>
    </row>
    <row r="23" spans="1:12">
      <c r="A23" s="3" t="s">
        <v>439</v>
      </c>
      <c r="B23" s="28">
        <f>IF(B19="Direct Input",B20,IF(B19="Synthetic Rating",'Synthetic rating'!D13,B10+VLOOKUP('Cost of capital worksheet'!B21,'Synthetic rating'!G39:H53,2)))</f>
        <v>4.9100000000000005E-2</v>
      </c>
      <c r="H23" s="90" t="str">
        <f>'Country equity risk premiums'!A162</f>
        <v>Middle East</v>
      </c>
      <c r="I23" s="90">
        <v>0</v>
      </c>
      <c r="J23" s="21">
        <f>'Country equity risk premiums'!B162</f>
        <v>6.6589990892489848E-2</v>
      </c>
      <c r="K23" s="21">
        <f t="shared" si="2"/>
        <v>0</v>
      </c>
      <c r="L23" s="21">
        <f t="shared" si="3"/>
        <v>0</v>
      </c>
    </row>
    <row r="24" spans="1:12">
      <c r="A24" s="3" t="s">
        <v>479</v>
      </c>
      <c r="B24" s="49">
        <f>'Input Sheet'!B21</f>
        <v>0.25</v>
      </c>
      <c r="H24" s="90" t="str">
        <f>'Country equity risk premiums'!A163</f>
        <v>North America</v>
      </c>
      <c r="I24" s="90">
        <v>96</v>
      </c>
      <c r="J24" s="21">
        <f>'Country equity risk premiums'!B163</f>
        <v>4.4999999999999998E-2</v>
      </c>
      <c r="K24" s="21">
        <f t="shared" si="2"/>
        <v>0.96</v>
      </c>
      <c r="L24" s="21">
        <f t="shared" si="3"/>
        <v>4.3199999999999995E-2</v>
      </c>
    </row>
    <row r="25" spans="1:12">
      <c r="H25" s="90" t="str">
        <f>'Country equity risk premiums'!A164</f>
        <v>Western Europe</v>
      </c>
      <c r="I25" s="90">
        <v>0</v>
      </c>
      <c r="J25" s="21">
        <f>'Country equity risk premiums'!B164</f>
        <v>5.7871606293643366E-2</v>
      </c>
      <c r="K25" s="21">
        <f t="shared" si="2"/>
        <v>0</v>
      </c>
      <c r="L25" s="21">
        <f t="shared" si="3"/>
        <v>0</v>
      </c>
    </row>
    <row r="26" spans="1:12">
      <c r="A26" s="3" t="s">
        <v>480</v>
      </c>
      <c r="B26" s="73">
        <v>0</v>
      </c>
      <c r="H26" s="90" t="s">
        <v>606</v>
      </c>
      <c r="I26" s="90">
        <v>4</v>
      </c>
      <c r="J26" s="21">
        <f>'Country equity risk premiums'!B165</f>
        <v>6.3100000000000003E-2</v>
      </c>
      <c r="K26" s="21">
        <f t="shared" si="2"/>
        <v>0.04</v>
      </c>
      <c r="L26" s="21">
        <f t="shared" si="3"/>
        <v>2.5240000000000002E-3</v>
      </c>
    </row>
    <row r="27" spans="1:12">
      <c r="A27" s="3" t="s">
        <v>481</v>
      </c>
      <c r="B27" s="73">
        <v>0</v>
      </c>
      <c r="H27" s="26" t="s">
        <v>505</v>
      </c>
      <c r="I27" s="47">
        <f>SUM(I17:I26)</f>
        <v>100</v>
      </c>
      <c r="J27" s="27"/>
      <c r="K27" s="21">
        <f>I27/$I$27</f>
        <v>1</v>
      </c>
      <c r="L27" s="50">
        <f>SUM(L17:L26)</f>
        <v>4.5723999999999994E-2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1.0054180718910262</v>
      </c>
    </row>
    <row r="32" spans="1:12">
      <c r="H32" s="90" t="s">
        <v>238</v>
      </c>
      <c r="I32" s="90">
        <v>15317</v>
      </c>
      <c r="J32" s="47">
        <f>IF(H32=0,,VLOOKUP(H32,'Industry Averages(US)'!$A$2:$S$96,15))</f>
        <v>0.6094709713815003</v>
      </c>
      <c r="K32" s="47">
        <f t="shared" si="4"/>
        <v>9335.2668686504403</v>
      </c>
      <c r="L32" s="47">
        <f>IF(J32=0,0,VLOOKUP(H32,'Industry Averages(US)'!$A$2:$S$96,7))</f>
        <v>0.94030624894969284</v>
      </c>
    </row>
    <row r="33" spans="1:12">
      <c r="A33" s="3" t="s">
        <v>485</v>
      </c>
      <c r="H33" s="90" t="s">
        <v>239</v>
      </c>
      <c r="I33" s="90">
        <v>1023</v>
      </c>
      <c r="J33" s="47">
        <f>IF(H33=0,,VLOOKUP(H33,'Industry Averages(US)'!$A$2:$S$96,15))</f>
        <v>5.2888957340712599</v>
      </c>
      <c r="K33" s="47">
        <f t="shared" si="4"/>
        <v>5410.5403359548991</v>
      </c>
      <c r="L33" s="47">
        <f>IF(J33=0,0,VLOOKUP(H33,'Industry Averages(US)'!$A$2:$S$96,7))</f>
        <v>1.1875339477983193</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914.58731636735706</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0.94835520618951641</v>
      </c>
      <c r="H43" s="26" t="s">
        <v>339</v>
      </c>
      <c r="I43" s="47">
        <f>SUM(I31:I42)</f>
        <v>201159</v>
      </c>
      <c r="J43" s="27"/>
      <c r="K43" s="47">
        <f>SUM(K31:K42)</f>
        <v>968608.80229393987</v>
      </c>
      <c r="L43" s="76">
        <f>L31*(K31/K43)+L32*K32/K43+L33*K33/K43+L34*K34/K43+L35*K35/K43+L36*K36/K43+L37*K37/K43+L38*K38/K43+L39*K39/K43+L40*K40/K43+L41*K41/K43+L42*K42/K43</f>
        <v>1.0058078154573231</v>
      </c>
    </row>
    <row r="45" spans="1:12">
      <c r="B45" s="3" t="s">
        <v>461</v>
      </c>
      <c r="C45" s="3" t="s">
        <v>501</v>
      </c>
      <c r="D45" s="3" t="s">
        <v>485</v>
      </c>
      <c r="E45" s="3" t="s">
        <v>502</v>
      </c>
      <c r="H45" s="3" t="s">
        <v>509</v>
      </c>
    </row>
    <row r="46" spans="1:12">
      <c r="A46" s="3" t="s">
        <v>494</v>
      </c>
      <c r="B46" s="47">
        <f>B4*B5</f>
        <v>34077.642</v>
      </c>
      <c r="C46" s="47">
        <f>C39+C40+C41</f>
        <v>914.58731636735706</v>
      </c>
      <c r="D46" s="47">
        <f>B34*B35</f>
        <v>0</v>
      </c>
      <c r="E46" s="47">
        <f>SUM(B46:D46)</f>
        <v>34992.22931636736</v>
      </c>
      <c r="H46" s="12" t="s">
        <v>508</v>
      </c>
      <c r="I46" s="13" t="s">
        <v>5</v>
      </c>
      <c r="J46" s="13" t="s">
        <v>511</v>
      </c>
      <c r="K46" s="13" t="s">
        <v>513</v>
      </c>
      <c r="L46" s="14" t="s">
        <v>515</v>
      </c>
    </row>
    <row r="47" spans="1:12">
      <c r="A47" s="3" t="s">
        <v>495</v>
      </c>
      <c r="B47" s="28">
        <f>B46/$E$46</f>
        <v>0.97386313092262544</v>
      </c>
      <c r="C47" s="28">
        <f>C46/$E$46</f>
        <v>2.613686907737443E-2</v>
      </c>
      <c r="D47" s="28">
        <f>D46/$E$46</f>
        <v>0</v>
      </c>
      <c r="E47" s="28">
        <f>SUM(B47:D47)</f>
        <v>0.99999999999999989</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8.5062593447809448E-2</v>
      </c>
      <c r="C48" s="28">
        <f>B23*(1-B24)</f>
        <v>3.6825000000000004E-2</v>
      </c>
      <c r="D48" s="28">
        <f>B36/B35</f>
        <v>3.8095238095238099E-2</v>
      </c>
      <c r="E48" s="77">
        <f>B47*B48+C47*C48+D47*D48</f>
        <v>8.3801813783256421E-2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topLeftCell="A27"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384.37</v>
      </c>
      <c r="G5" s="74" t="s">
        <v>553</v>
      </c>
    </row>
    <row r="6" spans="1:7">
      <c r="A6" s="3" t="s">
        <v>521</v>
      </c>
      <c r="F6" s="47">
        <f>IF('Input Sheet'!B14="Yes",'Cost of capital worksheet'!B17+'Operating lease converter'!C28*'Operating lease converter'!C15,'Cost of capital worksheet'!B17)</f>
        <v>0</v>
      </c>
      <c r="G6" s="74" t="s">
        <v>554</v>
      </c>
    </row>
    <row r="7" spans="1:7">
      <c r="A7" s="3" t="s">
        <v>522</v>
      </c>
      <c r="F7" s="21">
        <f>'Input Sheet'!B27</f>
        <v>4.1700000000000001E-2</v>
      </c>
    </row>
    <row r="8" spans="1:7">
      <c r="A8" s="3" t="s">
        <v>421</v>
      </c>
    </row>
    <row r="9" spans="1:7">
      <c r="A9" s="3" t="s">
        <v>523</v>
      </c>
      <c r="D9" s="47">
        <f>IF(F6=0,1000000,IF(F5&lt;0,-100000,F5/F6))</f>
        <v>1000000</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4.9100000000000005E-2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lpstr>Failure Rate worksheet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2024-02-13T18:32:29Z</dcterms:modified>
</cp:coreProperties>
</file>