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924"/>
  <workbookPr defaultThemeVersion="166925"/>
  <mc:AlternateContent xmlns:mc="http://schemas.openxmlformats.org/markup-compatibility/2006">
    <mc:Choice Requires="x15">
      <x15ac:absPath xmlns:x15ac="http://schemas.microsoft.com/office/spreadsheetml/2010/11/ac" url="C:\Users\Mark\Documents\1Work\1equity research - company folders\MUSA\"/>
    </mc:Choice>
  </mc:AlternateContent>
  <xr:revisionPtr revIDLastSave="0" documentId="13_ncr:1_{DED26576-B52D-4205-8FFF-30C5F59B4EEF}" xr6:coauthVersionLast="47" xr6:coauthVersionMax="47" xr10:uidLastSave="{00000000-0000-0000-0000-000000000000}"/>
  <bookViews>
    <workbookView xWindow="795" yWindow="2355" windowWidth="26805" windowHeight="11190" tabRatio="857" activeTab="1" xr2:uid="{7D5F130B-5C4C-43C2-8E7F-8223C61F2F14}"/>
  </bookViews>
  <sheets>
    <sheet name="Input Sheet" sheetId="1" r:id="rId1"/>
    <sheet name="Valuation Output" sheetId="6" r:id="rId2"/>
    <sheet name="Checks" sheetId="17" r:id="rId3"/>
    <sheet name="Option value" sheetId="7" r:id="rId4"/>
    <sheet name="R&amp; D converter" sheetId="8" r:id="rId5"/>
    <sheet name="Operating lease converter" sheetId="9" r:id="rId6"/>
    <sheet name="Cost of capital worksheet" sheetId="10" r:id="rId7"/>
    <sheet name="Synthetic rating" sheetId="12" r:id="rId8"/>
    <sheet name="Countries" sheetId="4" r:id="rId9"/>
    <sheet name="Industries" sheetId="5" r:id="rId10"/>
    <sheet name="Industry Averages(US)" sheetId="13" r:id="rId11"/>
    <sheet name="Global industry averages" sheetId="15" r:id="rId12"/>
    <sheet name="Country equity risk premiums" sheetId="14" r:id="rId13"/>
    <sheet name="Answer Keys" sheetId="2" r:id="rId14"/>
    <sheet name="TTM Calc" sheetId="16" r:id="rId15"/>
  </sheets>
  <calcPr calcId="191029" iterate="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I31" i="10" l="1"/>
  <c r="B20" i="1" l="1"/>
  <c r="C15" i="1"/>
  <c r="B15" i="1"/>
  <c r="C12" i="1"/>
  <c r="B12" i="1"/>
  <c r="E7" i="16"/>
  <c r="M102" i="17" s="1"/>
  <c r="B163" i="14" l="1"/>
  <c r="B157" i="14" s="1"/>
  <c r="D150" i="14"/>
  <c r="D151" i="14"/>
  <c r="D152" i="14"/>
  <c r="D149" i="14"/>
  <c r="D4" i="14"/>
  <c r="D5" i="14"/>
  <c r="D6" i="14"/>
  <c r="D7" i="14"/>
  <c r="D8" i="14"/>
  <c r="D9" i="14"/>
  <c r="D10" i="14"/>
  <c r="D11" i="14"/>
  <c r="D12" i="14"/>
  <c r="D13" i="14"/>
  <c r="D14" i="14"/>
  <c r="D15" i="14"/>
  <c r="D16" i="14"/>
  <c r="D17" i="14"/>
  <c r="D18" i="14"/>
  <c r="D19" i="14"/>
  <c r="D20" i="14"/>
  <c r="D21" i="14"/>
  <c r="D22" i="14"/>
  <c r="D23" i="14"/>
  <c r="D24" i="14"/>
  <c r="D25" i="14"/>
  <c r="D26" i="14"/>
  <c r="D27" i="14"/>
  <c r="D28" i="14"/>
  <c r="D29" i="14"/>
  <c r="D30" i="14"/>
  <c r="D31" i="14"/>
  <c r="D32" i="14"/>
  <c r="D33" i="14"/>
  <c r="D34" i="14"/>
  <c r="D35" i="14"/>
  <c r="D36" i="14"/>
  <c r="D37" i="14"/>
  <c r="D38" i="14"/>
  <c r="D39" i="14"/>
  <c r="D40" i="14"/>
  <c r="D41" i="14"/>
  <c r="D42" i="14"/>
  <c r="D43" i="14"/>
  <c r="D44" i="14"/>
  <c r="D45" i="14"/>
  <c r="D46" i="14"/>
  <c r="D47" i="14"/>
  <c r="D48" i="14"/>
  <c r="D49" i="14"/>
  <c r="D50" i="14"/>
  <c r="D51" i="14"/>
  <c r="D52" i="14"/>
  <c r="D53" i="14"/>
  <c r="D54" i="14"/>
  <c r="D55" i="14"/>
  <c r="D56" i="14"/>
  <c r="D57" i="14"/>
  <c r="D58" i="14"/>
  <c r="D59" i="14"/>
  <c r="D60" i="14"/>
  <c r="D61" i="14"/>
  <c r="D62" i="14"/>
  <c r="D63" i="14"/>
  <c r="D64" i="14"/>
  <c r="D65" i="14"/>
  <c r="D66" i="14"/>
  <c r="D67" i="14"/>
  <c r="D68" i="14"/>
  <c r="D69" i="14"/>
  <c r="D70" i="14"/>
  <c r="D71" i="14"/>
  <c r="D72" i="14"/>
  <c r="D73" i="14"/>
  <c r="D74" i="14"/>
  <c r="D75" i="14"/>
  <c r="D76" i="14"/>
  <c r="D77" i="14"/>
  <c r="D78" i="14"/>
  <c r="D79" i="14"/>
  <c r="D80" i="14"/>
  <c r="D81" i="14"/>
  <c r="D82" i="14"/>
  <c r="D83" i="14"/>
  <c r="D84" i="14"/>
  <c r="D85" i="14"/>
  <c r="D86" i="14"/>
  <c r="D87" i="14"/>
  <c r="D88" i="14"/>
  <c r="D89" i="14"/>
  <c r="D90" i="14"/>
  <c r="D91" i="14"/>
  <c r="D92" i="14"/>
  <c r="D93" i="14"/>
  <c r="D94" i="14"/>
  <c r="D95" i="14"/>
  <c r="D96" i="14"/>
  <c r="D97" i="14"/>
  <c r="D98" i="14"/>
  <c r="D99" i="14"/>
  <c r="D100" i="14"/>
  <c r="D101" i="14"/>
  <c r="D102" i="14"/>
  <c r="D103" i="14"/>
  <c r="D104" i="14"/>
  <c r="D105" i="14"/>
  <c r="D106" i="14"/>
  <c r="D107" i="14"/>
  <c r="D108" i="14"/>
  <c r="D109" i="14"/>
  <c r="D110" i="14"/>
  <c r="D111" i="14"/>
  <c r="D112" i="14"/>
  <c r="D113" i="14"/>
  <c r="D114" i="14"/>
  <c r="D115" i="14"/>
  <c r="D116" i="14"/>
  <c r="D117" i="14"/>
  <c r="D118" i="14"/>
  <c r="D119" i="14"/>
  <c r="D120" i="14"/>
  <c r="D121" i="14"/>
  <c r="D122" i="14"/>
  <c r="D123" i="14"/>
  <c r="D124" i="14"/>
  <c r="D125" i="14"/>
  <c r="D126" i="14"/>
  <c r="D127" i="14"/>
  <c r="D128" i="14"/>
  <c r="D129" i="14"/>
  <c r="D130" i="14"/>
  <c r="D131" i="14"/>
  <c r="D132" i="14"/>
  <c r="D133" i="14"/>
  <c r="D134" i="14"/>
  <c r="D135" i="14"/>
  <c r="D136" i="14"/>
  <c r="D137" i="14"/>
  <c r="D138" i="14"/>
  <c r="D139" i="14"/>
  <c r="D140" i="14"/>
  <c r="D141" i="14"/>
  <c r="D142" i="14"/>
  <c r="D143" i="14"/>
  <c r="D144" i="14"/>
  <c r="D145" i="14"/>
  <c r="D146" i="14"/>
  <c r="D147" i="14"/>
  <c r="D3" i="14"/>
  <c r="D2" i="14"/>
  <c r="B156" i="14" l="1"/>
  <c r="B165" i="14"/>
  <c r="B162" i="14"/>
  <c r="B161" i="14"/>
  <c r="B160" i="14"/>
  <c r="B159" i="14"/>
  <c r="B158" i="14"/>
  <c r="B164" i="14"/>
  <c r="K104" i="17"/>
  <c r="J104" i="17"/>
  <c r="K51" i="17" l="1"/>
  <c r="K46" i="17"/>
  <c r="K53" i="17" l="1"/>
  <c r="K54" i="17" s="1"/>
  <c r="E38" i="6"/>
  <c r="E2" i="6"/>
  <c r="C48" i="17" l="1"/>
  <c r="V15" i="17" l="1"/>
  <c r="Q15" i="17"/>
  <c r="W6" i="17"/>
  <c r="X6" i="17"/>
  <c r="V6" i="17"/>
  <c r="Q7" i="17"/>
  <c r="K39" i="1" l="1"/>
  <c r="J39" i="1"/>
  <c r="Q43" i="1" l="1"/>
  <c r="Q42" i="1"/>
  <c r="R43" i="1"/>
  <c r="R42" i="1"/>
  <c r="D12" i="12"/>
  <c r="E2" i="16" l="1"/>
  <c r="E4" i="16"/>
  <c r="M104" i="17" s="1"/>
  <c r="E5" i="16"/>
  <c r="J13" i="10" l="1"/>
  <c r="J12" i="10"/>
  <c r="J11" i="10"/>
  <c r="J10" i="10"/>
  <c r="J9" i="10"/>
  <c r="J8" i="10"/>
  <c r="J7" i="10"/>
  <c r="J6" i="10"/>
  <c r="J5" i="10"/>
  <c r="J4" i="10"/>
  <c r="J3" i="10"/>
  <c r="J26" i="10"/>
  <c r="E3" i="16" l="1"/>
  <c r="B10" i="6" l="1"/>
  <c r="K22" i="1" l="1"/>
  <c r="X7" i="17" s="1"/>
  <c r="K23" i="1"/>
  <c r="K24" i="1"/>
  <c r="X15" i="17" s="1"/>
  <c r="K25" i="1"/>
  <c r="K26" i="1"/>
  <c r="K27" i="1"/>
  <c r="X10" i="17" s="1"/>
  <c r="T17" i="17" l="1"/>
  <c r="T14" i="17"/>
  <c r="L58" i="10"/>
  <c r="L57" i="10"/>
  <c r="L56" i="10"/>
  <c r="L55" i="10"/>
  <c r="L54" i="10"/>
  <c r="L53" i="10"/>
  <c r="L52" i="10"/>
  <c r="L51" i="10"/>
  <c r="L50" i="10"/>
  <c r="L49" i="10"/>
  <c r="L48" i="10"/>
  <c r="L47" i="10"/>
  <c r="J58" i="10"/>
  <c r="J57" i="10"/>
  <c r="J56" i="10"/>
  <c r="J55" i="10"/>
  <c r="J54" i="10"/>
  <c r="J53" i="10"/>
  <c r="J52" i="10"/>
  <c r="J51" i="10"/>
  <c r="J50" i="10"/>
  <c r="J49" i="10"/>
  <c r="J48" i="10"/>
  <c r="J47" i="10"/>
  <c r="J42" i="10" l="1"/>
  <c r="L42" i="10" s="1"/>
  <c r="J41" i="10"/>
  <c r="L41" i="10" s="1"/>
  <c r="J40" i="10"/>
  <c r="L40" i="10" s="1"/>
  <c r="J39" i="10"/>
  <c r="L39" i="10" s="1"/>
  <c r="J38" i="10"/>
  <c r="L38" i="10" s="1"/>
  <c r="J37" i="10"/>
  <c r="L37" i="10" s="1"/>
  <c r="J36" i="10"/>
  <c r="L36" i="10" s="1"/>
  <c r="J35" i="10"/>
  <c r="L35" i="10" s="1"/>
  <c r="J34" i="10"/>
  <c r="L34" i="10" s="1"/>
  <c r="J33" i="10"/>
  <c r="L33" i="10" s="1"/>
  <c r="J32" i="10"/>
  <c r="L32" i="10" s="1"/>
  <c r="J31" i="10"/>
  <c r="L31" i="10" s="1"/>
  <c r="C38" i="6" l="1"/>
  <c r="D38" i="6" s="1"/>
  <c r="F38" i="6" s="1"/>
  <c r="G38" i="6" s="1"/>
  <c r="H38" i="6" s="1"/>
  <c r="I38" i="6" s="1"/>
  <c r="J38" i="6" s="1"/>
  <c r="K38" i="6" s="1"/>
  <c r="L38" i="6" s="1"/>
  <c r="J22" i="1"/>
  <c r="W7" i="17" s="1"/>
  <c r="J23" i="1"/>
  <c r="J24" i="1"/>
  <c r="W15" i="17" s="1"/>
  <c r="J25" i="1"/>
  <c r="J26" i="1"/>
  <c r="J27" i="1"/>
  <c r="W10" i="17" s="1"/>
  <c r="J19" i="10"/>
  <c r="J20" i="10"/>
  <c r="J21" i="10"/>
  <c r="J22" i="10"/>
  <c r="J23" i="10"/>
  <c r="J24" i="10"/>
  <c r="J25" i="10"/>
  <c r="J18" i="10"/>
  <c r="J17" i="10"/>
  <c r="H19" i="10"/>
  <c r="H20" i="10"/>
  <c r="H21" i="10"/>
  <c r="H22" i="10"/>
  <c r="H23" i="10"/>
  <c r="H24" i="10"/>
  <c r="H25" i="10"/>
  <c r="H18" i="10"/>
  <c r="H17" i="10"/>
  <c r="S17" i="17" l="1"/>
  <c r="S14" i="17"/>
  <c r="F7" i="12"/>
  <c r="C4" i="12"/>
  <c r="K10" i="10"/>
  <c r="L10" i="10" s="1"/>
  <c r="K11" i="10"/>
  <c r="L11" i="10" s="1"/>
  <c r="K12" i="10"/>
  <c r="L12" i="10" s="1"/>
  <c r="K13" i="10"/>
  <c r="L13" i="10" s="1"/>
  <c r="K33" i="10"/>
  <c r="K34" i="10"/>
  <c r="K35" i="10"/>
  <c r="K36" i="10"/>
  <c r="K37" i="10"/>
  <c r="K38" i="10"/>
  <c r="K39" i="10"/>
  <c r="K40" i="10"/>
  <c r="K41" i="10"/>
  <c r="K42" i="10"/>
  <c r="K47" i="10"/>
  <c r="K48" i="10"/>
  <c r="K49" i="10"/>
  <c r="K50" i="10"/>
  <c r="K51" i="10"/>
  <c r="K52" i="10"/>
  <c r="K53" i="10"/>
  <c r="K54" i="10"/>
  <c r="K55" i="10"/>
  <c r="K56" i="10"/>
  <c r="K57" i="10"/>
  <c r="K58" i="10"/>
  <c r="I14" i="10"/>
  <c r="K3" i="10" s="1"/>
  <c r="I27" i="10"/>
  <c r="K32" i="10"/>
  <c r="I59" i="10"/>
  <c r="D46" i="10"/>
  <c r="D48" i="10"/>
  <c r="B4" i="10"/>
  <c r="B5" i="10"/>
  <c r="B10" i="10"/>
  <c r="B16" i="10"/>
  <c r="B17" i="10"/>
  <c r="B24" i="10"/>
  <c r="D18" i="9"/>
  <c r="B27" i="9" s="1"/>
  <c r="B22" i="9"/>
  <c r="B23" i="9"/>
  <c r="B24" i="9"/>
  <c r="B25" i="9"/>
  <c r="B26" i="9"/>
  <c r="A22" i="9"/>
  <c r="A23" i="9"/>
  <c r="A24" i="9"/>
  <c r="A25" i="9"/>
  <c r="A26" i="9"/>
  <c r="A27" i="9"/>
  <c r="C24" i="8"/>
  <c r="B24" i="8"/>
  <c r="B25" i="8"/>
  <c r="B26" i="8"/>
  <c r="B27" i="8"/>
  <c r="B28" i="8"/>
  <c r="B29" i="8"/>
  <c r="B30" i="8"/>
  <c r="B31" i="8"/>
  <c r="B32" i="8"/>
  <c r="B33" i="8"/>
  <c r="B34" i="8"/>
  <c r="A12" i="8"/>
  <c r="A13" i="8" s="1"/>
  <c r="A14" i="8" s="1"/>
  <c r="A25" i="8"/>
  <c r="C25" i="8" s="1"/>
  <c r="F17" i="7"/>
  <c r="D2" i="7"/>
  <c r="C13" i="7" s="1"/>
  <c r="D3" i="7"/>
  <c r="C14" i="7" s="1"/>
  <c r="C16" i="7" s="1"/>
  <c r="D4" i="7"/>
  <c r="C17" i="7" s="1"/>
  <c r="D5" i="7"/>
  <c r="F16" i="7" s="1"/>
  <c r="D7" i="7"/>
  <c r="F15" i="7" s="1"/>
  <c r="D8" i="7"/>
  <c r="F13" i="7" s="1"/>
  <c r="D9" i="7"/>
  <c r="F14" i="7" s="1"/>
  <c r="I43" i="10" l="1"/>
  <c r="K31" i="10"/>
  <c r="K43" i="10" s="1"/>
  <c r="L43" i="10" s="1"/>
  <c r="K9" i="10"/>
  <c r="L9" i="10" s="1"/>
  <c r="D24" i="8"/>
  <c r="K19" i="10"/>
  <c r="L19" i="10" s="1"/>
  <c r="K26" i="10"/>
  <c r="L26" i="10" s="1"/>
  <c r="E25" i="8"/>
  <c r="K22" i="10"/>
  <c r="L22" i="10" s="1"/>
  <c r="K24" i="10"/>
  <c r="L24" i="10" s="1"/>
  <c r="K23" i="10"/>
  <c r="L23" i="10" s="1"/>
  <c r="A26" i="8"/>
  <c r="E26" i="8" s="1"/>
  <c r="F18" i="7"/>
  <c r="B46" i="10"/>
  <c r="K59" i="10"/>
  <c r="L59" i="10" s="1"/>
  <c r="K25" i="10"/>
  <c r="L25" i="10" s="1"/>
  <c r="K17" i="10"/>
  <c r="L17" i="10" s="1"/>
  <c r="K18" i="10"/>
  <c r="L18" i="10" s="1"/>
  <c r="K27" i="10"/>
  <c r="K20" i="10"/>
  <c r="L20" i="10" s="1"/>
  <c r="K21" i="10"/>
  <c r="L21" i="10" s="1"/>
  <c r="K8" i="10"/>
  <c r="L8" i="10" s="1"/>
  <c r="K7" i="10"/>
  <c r="L7" i="10" s="1"/>
  <c r="K6" i="10"/>
  <c r="L6" i="10" s="1"/>
  <c r="K5" i="10"/>
  <c r="L5" i="10" s="1"/>
  <c r="K4" i="10"/>
  <c r="L4" i="10" s="1"/>
  <c r="L3" i="10"/>
  <c r="D25" i="8"/>
  <c r="A15" i="8"/>
  <c r="A28" i="8"/>
  <c r="A27" i="8"/>
  <c r="B9" i="10" l="1"/>
  <c r="C26" i="8"/>
  <c r="D26" i="8" s="1"/>
  <c r="K14" i="10"/>
  <c r="L27" i="10"/>
  <c r="L14" i="10"/>
  <c r="E27" i="8"/>
  <c r="C27" i="8"/>
  <c r="D27" i="8" s="1"/>
  <c r="E28" i="8"/>
  <c r="C28" i="8"/>
  <c r="D28" i="8" s="1"/>
  <c r="A16" i="8"/>
  <c r="A29" i="8"/>
  <c r="B13" i="10" l="1"/>
  <c r="A17" i="8"/>
  <c r="A30" i="8"/>
  <c r="E29" i="8"/>
  <c r="C29" i="8"/>
  <c r="D29" i="8" s="1"/>
  <c r="E30" i="8" l="1"/>
  <c r="C30" i="8"/>
  <c r="D30" i="8" s="1"/>
  <c r="A18" i="8"/>
  <c r="A31" i="8"/>
  <c r="E31" i="8" l="1"/>
  <c r="C31" i="8"/>
  <c r="D31" i="8" s="1"/>
  <c r="A32" i="8"/>
  <c r="A19" i="8"/>
  <c r="A20" i="8" l="1"/>
  <c r="A34" i="8" s="1"/>
  <c r="A33" i="8"/>
  <c r="C32" i="8"/>
  <c r="D32" i="8" s="1"/>
  <c r="E32" i="8"/>
  <c r="E33" i="8" l="1"/>
  <c r="C33" i="8"/>
  <c r="D33" i="8" s="1"/>
  <c r="E34" i="8"/>
  <c r="C34" i="8"/>
  <c r="D34" i="8" s="1"/>
  <c r="D35" i="8" l="1"/>
  <c r="E35" i="8"/>
  <c r="D37" i="8" s="1"/>
  <c r="D39" i="8" s="1"/>
  <c r="D40" i="8" s="1"/>
  <c r="B34" i="6"/>
  <c r="C45" i="17" s="1"/>
  <c r="B32" i="6"/>
  <c r="B26" i="6"/>
  <c r="B27" i="6"/>
  <c r="B28" i="6"/>
  <c r="B23" i="6"/>
  <c r="B22" i="6"/>
  <c r="M12" i="6"/>
  <c r="M6" i="6"/>
  <c r="B6" i="6"/>
  <c r="C6" i="6" s="1"/>
  <c r="D6" i="6" s="1"/>
  <c r="E6" i="6" s="1"/>
  <c r="F6" i="6" s="1"/>
  <c r="G6" i="6" s="1"/>
  <c r="B3" i="6"/>
  <c r="C2" i="6"/>
  <c r="B32" i="17" s="1"/>
  <c r="I25" i="1"/>
  <c r="I24" i="1"/>
  <c r="I22" i="1"/>
  <c r="V7" i="17" s="1"/>
  <c r="B17" i="6" l="1"/>
  <c r="V10" i="17"/>
  <c r="L43" i="1"/>
  <c r="P43" i="1"/>
  <c r="J43" i="1"/>
  <c r="S6" i="17"/>
  <c r="T6" i="17"/>
  <c r="H6" i="6"/>
  <c r="I6" i="6" s="1"/>
  <c r="J6" i="6" s="1"/>
  <c r="K6" i="6" s="1"/>
  <c r="L6" i="6" s="1"/>
  <c r="C3" i="6"/>
  <c r="C8" i="6" s="1"/>
  <c r="D2" i="6"/>
  <c r="C32" i="17" l="1"/>
  <c r="T9" i="17"/>
  <c r="S9" i="17"/>
  <c r="D3" i="6"/>
  <c r="E3" i="6" s="1"/>
  <c r="F2" i="6" l="1"/>
  <c r="F3" i="6" s="1"/>
  <c r="D32" i="17"/>
  <c r="D8" i="6"/>
  <c r="E8" i="6"/>
  <c r="G2" i="6" l="1"/>
  <c r="E32" i="17"/>
  <c r="G3" i="6"/>
  <c r="F8" i="6"/>
  <c r="K2" i="6" l="1"/>
  <c r="J32" i="17" s="1"/>
  <c r="F32" i="17"/>
  <c r="J2" i="6"/>
  <c r="I32" i="17" s="1"/>
  <c r="L2" i="6"/>
  <c r="H2" i="6"/>
  <c r="G32" i="17" s="1"/>
  <c r="I2" i="6"/>
  <c r="H32" i="17" s="1"/>
  <c r="G8" i="6"/>
  <c r="H3" i="6" l="1"/>
  <c r="I3" i="6" s="1"/>
  <c r="M2" i="6"/>
  <c r="K32" i="17"/>
  <c r="H8" i="6" l="1"/>
  <c r="L32" i="17"/>
  <c r="C28" i="17"/>
  <c r="I8" i="6"/>
  <c r="J3" i="6"/>
  <c r="J8" i="6" l="1"/>
  <c r="K3" i="6"/>
  <c r="K8" i="6" l="1"/>
  <c r="L3" i="6"/>
  <c r="M3" i="6" l="1"/>
  <c r="L8" i="6"/>
  <c r="I30" i="1" l="1"/>
  <c r="C27" i="17"/>
  <c r="B30" i="6" l="1"/>
  <c r="B31" i="10"/>
  <c r="C41" i="10" s="1"/>
  <c r="F5" i="12"/>
  <c r="F6" i="12"/>
  <c r="D9" i="12"/>
  <c r="D10" i="12" s="1"/>
  <c r="B5" i="6"/>
  <c r="B4" i="6" s="1"/>
  <c r="J4" i="6" s="1"/>
  <c r="J5" i="6" s="1"/>
  <c r="B25" i="6"/>
  <c r="B39" i="6"/>
  <c r="B7" i="6" l="1"/>
  <c r="B40" i="6" s="1"/>
  <c r="C39" i="6"/>
  <c r="D39" i="6" s="1"/>
  <c r="E39" i="6" s="1"/>
  <c r="F39" i="6" s="1"/>
  <c r="G39" i="6" s="1"/>
  <c r="H39" i="6" s="1"/>
  <c r="I39" i="6" s="1"/>
  <c r="J39" i="6" s="1"/>
  <c r="K39" i="6" s="1"/>
  <c r="L39" i="6" s="1"/>
  <c r="H4" i="6"/>
  <c r="H5" i="6" s="1"/>
  <c r="C4" i="6"/>
  <c r="C5" i="6" s="1"/>
  <c r="I4" i="6"/>
  <c r="I5" i="6" s="1"/>
  <c r="E4" i="6"/>
  <c r="E5" i="6" s="1"/>
  <c r="K4" i="6"/>
  <c r="K5" i="6" s="1"/>
  <c r="I23" i="1"/>
  <c r="F4" i="6"/>
  <c r="F5" i="6" s="1"/>
  <c r="L4" i="6"/>
  <c r="G4" i="6"/>
  <c r="G5" i="6" s="1"/>
  <c r="D4" i="6"/>
  <c r="D5" i="6" s="1"/>
  <c r="D11" i="12"/>
  <c r="D13" i="12" s="1"/>
  <c r="B23" i="10" l="1"/>
  <c r="C15" i="9"/>
  <c r="C7" i="6"/>
  <c r="C10" i="6"/>
  <c r="D7" i="6" s="1"/>
  <c r="I57" i="17"/>
  <c r="K58" i="17" s="1"/>
  <c r="K59" i="17" s="1"/>
  <c r="L5" i="6"/>
  <c r="M4" i="6"/>
  <c r="M5" i="6" s="1"/>
  <c r="C30" i="17" l="1"/>
  <c r="C34" i="17" s="1"/>
  <c r="D40" i="6"/>
  <c r="D9" i="6"/>
  <c r="D10" i="6"/>
  <c r="I31" i="1"/>
  <c r="N5" i="6"/>
  <c r="M7" i="6"/>
  <c r="B30" i="17"/>
  <c r="B34" i="17" s="1"/>
  <c r="C9" i="6"/>
  <c r="C40" i="6"/>
  <c r="C22" i="9"/>
  <c r="C23" i="9"/>
  <c r="C24" i="9"/>
  <c r="C25" i="9"/>
  <c r="C26" i="9"/>
  <c r="C27" i="9"/>
  <c r="C39" i="10"/>
  <c r="C48" i="10"/>
  <c r="C40" i="10"/>
  <c r="C42" i="10" s="1"/>
  <c r="E10" i="6" l="1"/>
  <c r="E7" i="6"/>
  <c r="C46" i="10"/>
  <c r="C28" i="9"/>
  <c r="E40" i="6" l="1"/>
  <c r="D30" i="17"/>
  <c r="D34" i="17" s="1"/>
  <c r="E9" i="6"/>
  <c r="F31" i="9"/>
  <c r="F32" i="9" s="1"/>
  <c r="F33" i="9"/>
  <c r="F34" i="9"/>
  <c r="C43" i="10"/>
  <c r="B48" i="10" s="1"/>
  <c r="C47" i="17" s="1"/>
  <c r="C49" i="17" s="1"/>
  <c r="E46" i="10"/>
  <c r="C47" i="10" s="1"/>
  <c r="F7" i="6"/>
  <c r="F10" i="6"/>
  <c r="G7" i="6" l="1"/>
  <c r="G10" i="6"/>
  <c r="F9" i="6"/>
  <c r="E30" i="17"/>
  <c r="E34" i="17" s="1"/>
  <c r="F40" i="6"/>
  <c r="B47" i="10"/>
  <c r="D47" i="10"/>
  <c r="E47" i="10" l="1"/>
  <c r="E48" i="10"/>
  <c r="B28" i="1" s="1"/>
  <c r="H7" i="6"/>
  <c r="H10" i="6"/>
  <c r="F30" i="17"/>
  <c r="F34" i="17" s="1"/>
  <c r="G40" i="6"/>
  <c r="G9" i="6"/>
  <c r="I10" i="6" l="1"/>
  <c r="I7" i="6"/>
  <c r="G30" i="17"/>
  <c r="G34" i="17" s="1"/>
  <c r="H40" i="6"/>
  <c r="H9" i="6"/>
  <c r="C12" i="6"/>
  <c r="J42" i="1"/>
  <c r="L42" i="1"/>
  <c r="P42" i="1"/>
  <c r="H30" i="17" l="1"/>
  <c r="H34" i="17" s="1"/>
  <c r="I9" i="6"/>
  <c r="I40" i="6"/>
  <c r="D12" i="6"/>
  <c r="E12" i="6" s="1"/>
  <c r="F12" i="6" s="1"/>
  <c r="G12" i="6" s="1"/>
  <c r="H12" i="6" s="1"/>
  <c r="I12" i="6" s="1"/>
  <c r="J12" i="6" s="1"/>
  <c r="K12" i="6" s="1"/>
  <c r="L12" i="6" s="1"/>
  <c r="M40" i="6" s="1"/>
  <c r="M8" i="6" s="1"/>
  <c r="C13" i="6"/>
  <c r="J7" i="6"/>
  <c r="J10" i="6"/>
  <c r="N8" i="6" l="1"/>
  <c r="M9" i="6"/>
  <c r="B16" i="6" s="1"/>
  <c r="B18" i="6" s="1"/>
  <c r="D13" i="6"/>
  <c r="C14" i="6"/>
  <c r="K7" i="6"/>
  <c r="K10" i="6"/>
  <c r="I30" i="17"/>
  <c r="I34" i="17" s="1"/>
  <c r="J40" i="6"/>
  <c r="J9" i="6"/>
  <c r="L10" i="6" l="1"/>
  <c r="M10" i="6" s="1"/>
  <c r="L7" i="6"/>
  <c r="K40" i="6"/>
  <c r="J30" i="17"/>
  <c r="J34" i="17" s="1"/>
  <c r="K9" i="6"/>
  <c r="E13" i="6"/>
  <c r="D14" i="6"/>
  <c r="F13" i="6" l="1"/>
  <c r="E14" i="6"/>
  <c r="L9" i="6"/>
  <c r="K30" i="17"/>
  <c r="K34" i="17" s="1"/>
  <c r="L40" i="6"/>
  <c r="I32" i="1" s="1"/>
  <c r="L30" i="17"/>
  <c r="L34" i="17" s="1"/>
  <c r="G13" i="6" l="1"/>
  <c r="F14" i="6"/>
  <c r="H13" i="6" l="1"/>
  <c r="G14" i="6"/>
  <c r="I13" i="6" l="1"/>
  <c r="H14" i="6"/>
  <c r="J13" i="6" l="1"/>
  <c r="I14" i="6"/>
  <c r="K13" i="6" l="1"/>
  <c r="J14" i="6"/>
  <c r="L13" i="6" l="1"/>
  <c r="K14" i="6"/>
  <c r="B19" i="6" l="1"/>
  <c r="L14" i="6"/>
  <c r="B20" i="6" s="1"/>
  <c r="B21" i="6" l="1"/>
  <c r="B24" i="6" s="1"/>
  <c r="B29" i="6" s="1"/>
  <c r="B31" i="6" s="1"/>
  <c r="B33" i="6" s="1"/>
  <c r="C46" i="17" l="1"/>
  <c r="D35" i="6"/>
  <c r="E35" i="6" s="1"/>
  <c r="B35" i="6"/>
  <c r="C52" i="17" l="1"/>
  <c r="D52" i="17" s="1"/>
  <c r="E52" i="17" s="1"/>
  <c r="C51" i="17"/>
  <c r="D51" i="17" s="1"/>
  <c r="E51" i="17" s="1"/>
  <c r="C15" i="7"/>
  <c r="B20" i="7"/>
  <c r="B21" i="7"/>
  <c r="B23" i="7"/>
  <c r="B24" i="7"/>
  <c r="C26" i="7"/>
  <c r="D27" i="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MHogan</author>
  </authors>
  <commentList>
    <comment ref="B6" authorId="0" shapeId="0" xr:uid="{DDD76457-99B7-4CE0-A80F-440B99D9E2C5}">
      <text>
        <r>
          <rPr>
            <b/>
            <sz val="9"/>
            <color indexed="81"/>
            <rFont val="Tahoma"/>
            <family val="2"/>
          </rPr>
          <t>MHogan:</t>
        </r>
        <r>
          <rPr>
            <sz val="9"/>
            <color indexed="81"/>
            <rFont val="Tahoma"/>
            <family val="2"/>
          </rPr>
          <t xml:space="preserve">
If you are in multiple businesses, you can construct your own weighted averages using the industry average table from this spreadsheet and your company's business breakdown.</t>
        </r>
      </text>
    </comment>
    <comment ref="B8" authorId="0" shapeId="0" xr:uid="{C4953624-420F-419E-8152-397430D9D64C}">
      <text>
        <r>
          <rPr>
            <b/>
            <sz val="9"/>
            <color indexed="81"/>
            <rFont val="Tahoma"/>
            <family val="2"/>
          </rPr>
          <t>MHogan:</t>
        </r>
        <r>
          <rPr>
            <sz val="9"/>
            <color indexed="81"/>
            <rFont val="Tahoma"/>
            <family val="2"/>
          </rPr>
          <t xml:space="preserve">
Enter the revenues from the most recent period (you can either use annual or the trailing 12 months). If your company had no revenues, enter a very small positive number. (You need a base for your growth rate)</t>
        </r>
      </text>
    </comment>
    <comment ref="B9" authorId="0" shapeId="0" xr:uid="{789EA099-9A02-45F7-8CCC-D530EEDA60C5}">
      <text>
        <r>
          <rPr>
            <b/>
            <sz val="9"/>
            <color indexed="81"/>
            <rFont val="Tahoma"/>
            <family val="2"/>
          </rPr>
          <t>MHogan:</t>
        </r>
        <r>
          <rPr>
            <sz val="9"/>
            <color indexed="81"/>
            <rFont val="Tahoma"/>
            <family val="2"/>
          </rPr>
          <t xml:space="preserve">
Enter the operating income or EBIT from the most recent time period, even if that number is negative. If you have operating leases, enter the adjusted operating income (see the operating lease worksheet for the amount you have to adjust operating income by).</t>
        </r>
      </text>
    </comment>
    <comment ref="B11" authorId="0" shapeId="0" xr:uid="{26343086-80FA-421A-B0BB-0F692BC25C0A}">
      <text>
        <r>
          <rPr>
            <b/>
            <sz val="9"/>
            <color indexed="81"/>
            <rFont val="Tahoma"/>
            <family val="2"/>
          </rPr>
          <t>MHogan:</t>
        </r>
        <r>
          <rPr>
            <sz val="9"/>
            <color indexed="81"/>
            <rFont val="Tahoma"/>
            <family val="2"/>
          </rPr>
          <t xml:space="preserve">
Enter the book value of equity (total) from the end of the most recent time period (i.e. the most recent balance sheet). This book equity will include everything - paid in capital, retained earnings etc. and may even be negative for companies that have been losing money for a while.</t>
        </r>
      </text>
    </comment>
    <comment ref="B12" authorId="0" shapeId="0" xr:uid="{D126FD95-9A9D-492F-BA1B-8A6A762812BC}">
      <text>
        <r>
          <rPr>
            <b/>
            <sz val="9"/>
            <color indexed="81"/>
            <rFont val="Tahoma"/>
            <family val="2"/>
          </rPr>
          <t>MHogan:</t>
        </r>
        <r>
          <rPr>
            <sz val="9"/>
            <color indexed="81"/>
            <rFont val="Tahoma"/>
            <family val="2"/>
          </rPr>
          <t xml:space="preserve">
Enter the book value of interest bearing debt (short and long term) at your company from the most recent balance sheet. (Do not include accounts payable, supplier credit or other non-interest bearing liabilities.) </t>
        </r>
      </text>
    </comment>
    <comment ref="B15" authorId="0" shapeId="0" xr:uid="{E740315F-28A7-48FB-8E06-82FFCC6399FC}">
      <text>
        <r>
          <rPr>
            <b/>
            <sz val="9"/>
            <color indexed="81"/>
            <rFont val="Tahoma"/>
            <family val="2"/>
          </rPr>
          <t>MHogan:</t>
        </r>
        <r>
          <rPr>
            <sz val="9"/>
            <color indexed="81"/>
            <rFont val="Tahoma"/>
            <family val="2"/>
          </rPr>
          <t xml:space="preserve">
Enter the cash balance from the most recent balance sheet. This should include marketable securities.</t>
        </r>
      </text>
    </comment>
    <comment ref="F16" authorId="0" shapeId="0" xr:uid="{09327BCC-58FA-42D2-B7C0-0093FEB2A1B1}">
      <text>
        <r>
          <rPr>
            <b/>
            <sz val="9"/>
            <color indexed="81"/>
            <rFont val="Tahoma"/>
            <charset val="1"/>
          </rPr>
          <t>MHogan:</t>
        </r>
        <r>
          <rPr>
            <sz val="9"/>
            <color indexed="81"/>
            <rFont val="Tahoma"/>
            <charset val="1"/>
          </rPr>
          <t xml:space="preserve">
Under long-term liabilities: "postretirement medical benefits", "pension liability", "long-term employee related benefits"</t>
        </r>
      </text>
    </comment>
    <comment ref="B17" authorId="0" shapeId="0" xr:uid="{BE13F525-CFC0-4B96-9CC8-E8587479F471}">
      <text>
        <r>
          <rPr>
            <b/>
            <sz val="9"/>
            <color indexed="81"/>
            <rFont val="Tahoma"/>
            <family val="2"/>
          </rPr>
          <t>MHogan:</t>
        </r>
        <r>
          <rPr>
            <sz val="9"/>
            <color indexed="81"/>
            <rFont val="Tahoma"/>
            <family val="2"/>
          </rPr>
          <t xml:space="preserve">
Enter the "market" value of minority interests. This is a uniquely accounting item and will be on the liability side of your company's balance sheet. It reflects the requirement that if you own more than 50% of another company or have effective control of it, you have to consolidate that company's statements with yours. Thus, you count 100% of that subsidiaries assets, revenues and operating income with your company, even if you own only 60%. The minority interest reflects the book value of the 40% of the equity in the subsidiary that does not belong to you. Again, it is best if you can convert the book value to a market value by applying the price to book ratio for the sector in which the subsidiary operates</t>
        </r>
      </text>
    </comment>
    <comment ref="B18" authorId="0" shapeId="0" xr:uid="{0719EA5D-A4EB-4E38-83A8-27F3D3FFF613}">
      <text>
        <r>
          <rPr>
            <b/>
            <sz val="9"/>
            <color indexed="81"/>
            <rFont val="Tahoma"/>
            <family val="2"/>
          </rPr>
          <t>MHogan:</t>
        </r>
        <r>
          <rPr>
            <sz val="9"/>
            <color indexed="81"/>
            <rFont val="Tahoma"/>
            <family val="2"/>
          </rPr>
          <t xml:space="preserve">
Enter the most recent update you have on the number of shares. If you have different classes of shares, aggregate them all and enter one number. Count restricted stock units (RSUs) as shares but don't count shares underlying employee options.</t>
        </r>
      </text>
    </comment>
    <comment ref="B19" authorId="0" shapeId="0" xr:uid="{A078F73F-712D-4AD5-8EC8-E4072BFF4D0D}">
      <text>
        <r>
          <rPr>
            <b/>
            <sz val="9"/>
            <color indexed="81"/>
            <rFont val="Tahoma"/>
            <family val="2"/>
          </rPr>
          <t>MHogan:</t>
        </r>
        <r>
          <rPr>
            <sz val="9"/>
            <color indexed="81"/>
            <rFont val="Tahoma"/>
            <family val="2"/>
          </rPr>
          <t xml:space="preserve">
Enter the most recent stock price (how about today's?) in here. </t>
        </r>
      </text>
    </comment>
    <comment ref="B20" authorId="0" shapeId="0" xr:uid="{6BC22445-E26D-47EB-9960-637040CB973B}">
      <text>
        <r>
          <rPr>
            <b/>
            <sz val="9"/>
            <color indexed="81"/>
            <rFont val="Tahoma"/>
            <family val="2"/>
          </rPr>
          <t>MHogan:</t>
        </r>
        <r>
          <rPr>
            <sz val="9"/>
            <color indexed="81"/>
            <rFont val="Tahoma"/>
            <family val="2"/>
          </rPr>
          <t xml:space="preserve">
Enter your effective (not marginal) tax rate for your firm. You will find this in your company's annual report. If you cannot, you can compute it as follows, from the income statement:
Effective tax rate = Taxes paid/ Taxable income
If your effective tax rate varies across years, you can use an average.</t>
        </r>
      </text>
    </comment>
    <comment ref="B21" authorId="0" shapeId="0" xr:uid="{A63419DC-75BB-45C1-B84A-428C40FB685C}">
      <text>
        <r>
          <rPr>
            <b/>
            <sz val="9"/>
            <color indexed="81"/>
            <rFont val="Tahoma"/>
            <family val="2"/>
          </rPr>
          <t>MHogan:</t>
        </r>
        <r>
          <rPr>
            <sz val="9"/>
            <color indexed="81"/>
            <rFont val="Tahoma"/>
            <family val="2"/>
          </rPr>
          <t xml:space="preserve">
This is a statutory tax rate. I use the tax rate of the country the company is domiciled in. See worksheet embedded in this spreadshseet for country tax rates.
For companies that do business outside the US, use a slightly higher marginal tax rate, like 25%. If the company is 100% US, go for 21%. </t>
        </r>
      </text>
    </comment>
    <comment ref="B23" authorId="0" shapeId="0" xr:uid="{03109835-6BA3-4A92-9914-7E32243204A8}">
      <text>
        <r>
          <rPr>
            <b/>
            <sz val="9"/>
            <color indexed="81"/>
            <rFont val="Tahoma"/>
            <family val="2"/>
          </rPr>
          <t>MHogan:</t>
        </r>
        <r>
          <rPr>
            <sz val="9"/>
            <color indexed="81"/>
            <rFont val="Tahoma"/>
            <family val="2"/>
          </rPr>
          <t xml:space="preserve">
I don't have a crystal ball but you should look at 
a. Revenue growth in your company in recent years
b. Your company's revenues, relative to the overall market size and larger players in the sector. 
Suggestion: Check your revenues in year 10 against the overall market and see what market share are you giving your company. Check your company's revenues against other companies in the sector.
Note that this number can be negative for a declining firm.</t>
        </r>
      </text>
    </comment>
    <comment ref="B24" authorId="0" shapeId="0" xr:uid="{966D6AB2-1730-450D-9B3D-4AA4A68BBC4E}">
      <text>
        <r>
          <rPr>
            <b/>
            <sz val="9"/>
            <color indexed="81"/>
            <rFont val="Tahoma"/>
            <family val="2"/>
          </rPr>
          <t>MHogan:</t>
        </r>
        <r>
          <rPr>
            <sz val="9"/>
            <color indexed="81"/>
            <rFont val="Tahoma"/>
            <family val="2"/>
          </rPr>
          <t xml:space="preserve">
You should start by looking at your company's current pre-tax operating margin  but also look at the average for your industry. (You can check my estimates of industry averages in the last worksheet on this spreadsheet.) </t>
        </r>
      </text>
    </comment>
    <comment ref="B25" authorId="0" shapeId="0" xr:uid="{EBFA15C1-B1E0-4C5B-8D11-A4F142984C5F}">
      <text>
        <r>
          <rPr>
            <b/>
            <sz val="9"/>
            <color indexed="81"/>
            <rFont val="Tahoma"/>
            <family val="2"/>
          </rPr>
          <t>MHogan:</t>
        </r>
        <r>
          <rPr>
            <sz val="9"/>
            <color indexed="81"/>
            <rFont val="Tahoma"/>
            <family val="2"/>
          </rPr>
          <t xml:space="preserve">
You are probably wondering what this is but it is how I compute how much you are going to reinvest to keep your business growing in future years. The higher you set this number, the more efficiently you are growing and the higher the value of your growth. Again, look at your company's current number (divide cell B3 by the sum of cells B5 and B6). Look at the industry averages as well in the worksheet.
The spreadsheet takes the change of revenues and divides by the Sales/capital ratio
It says, I really don't where specifically the company will invest (capex, R&amp;D, acquisitions), but it still has to invest to grow
A negative reinvestment rate means you are shrinking the company. In some cases, growing can just further destroy value. (Returns on capital &lt; Costs of capital). Management can be in denial.</t>
        </r>
      </text>
    </comment>
    <comment ref="B27" authorId="0" shapeId="0" xr:uid="{E3DFAA00-EC8D-465D-90D2-A49C7055179B}">
      <text>
        <r>
          <rPr>
            <b/>
            <sz val="9"/>
            <color indexed="81"/>
            <rFont val="Tahoma"/>
            <family val="2"/>
          </rPr>
          <t>MHogan:</t>
        </r>
        <r>
          <rPr>
            <sz val="9"/>
            <color indexed="81"/>
            <rFont val="Tahoma"/>
            <family val="2"/>
          </rPr>
          <t xml:space="preserve">
This should be today's long term riskfree rate. If you are working with a currency where the government has default risk, clean up the government bond rate to make it riskfree (by subtracting the default spread for the government).</t>
        </r>
      </text>
    </comment>
    <comment ref="B28" authorId="0" shapeId="0" xr:uid="{8AC45BEF-2621-48CD-954F-1FE36189D70C}">
      <text>
        <r>
          <rPr>
            <b/>
            <sz val="9"/>
            <color indexed="81"/>
            <rFont val="Tahoma"/>
            <family val="2"/>
          </rPr>
          <t>MHogan:</t>
        </r>
        <r>
          <rPr>
            <sz val="9"/>
            <color indexed="81"/>
            <rFont val="Tahoma"/>
            <family val="2"/>
          </rPr>
          <t xml:space="preserve">
Enter the current cost of capital for your firm. If you don't know what it is, you can use the worksheet to compute it.
CoC is typically high for younger companies and declines as the company grows</t>
        </r>
      </text>
    </comment>
    <comment ref="I30" authorId="0" shapeId="0" xr:uid="{0B13874E-2F82-4EC0-BD26-20270162F564}">
      <text>
        <r>
          <rPr>
            <b/>
            <sz val="9"/>
            <color indexed="81"/>
            <rFont val="Tahoma"/>
            <family val="2"/>
          </rPr>
          <t>MHogan:</t>
        </r>
        <r>
          <rPr>
            <sz val="9"/>
            <color indexed="81"/>
            <rFont val="Tahoma"/>
            <family val="2"/>
          </rPr>
          <t xml:space="preserve">
Compare to your total market and check your market share.</t>
        </r>
      </text>
    </comment>
    <comment ref="B31" authorId="0" shapeId="0" xr:uid="{C74F8239-AD82-48D0-BC26-B5CDD360BB2C}">
      <text>
        <r>
          <rPr>
            <b/>
            <sz val="9"/>
            <color indexed="81"/>
            <rFont val="Tahoma"/>
            <family val="2"/>
          </rPr>
          <t>MHogan:</t>
        </r>
        <r>
          <rPr>
            <sz val="9"/>
            <color indexed="81"/>
            <rFont val="Tahoma"/>
            <family val="2"/>
          </rPr>
          <t xml:space="preserve">
Check your company's annual report or 10K. If it does have options outstanding, enter the total number here (vested and non vested, in the money and out…)</t>
        </r>
      </text>
    </comment>
    <comment ref="B32" authorId="0" shapeId="0" xr:uid="{CD196854-B550-480E-ABBC-025FDDC0CAA2}">
      <text>
        <r>
          <rPr>
            <b/>
            <sz val="9"/>
            <color indexed="81"/>
            <rFont val="Tahoma"/>
            <family val="2"/>
          </rPr>
          <t>MHogan:</t>
        </r>
        <r>
          <rPr>
            <sz val="9"/>
            <color indexed="81"/>
            <rFont val="Tahoma"/>
            <family val="2"/>
          </rPr>
          <t xml:space="preserve">
Enter the weighted average strike price of your options. (Should be in your 10K or annual report.)</t>
        </r>
      </text>
    </comment>
    <comment ref="I32" authorId="0" shapeId="0" xr:uid="{D16C6FE7-CFF5-4A19-99DA-3BC464B9487E}">
      <text>
        <r>
          <rPr>
            <b/>
            <sz val="9"/>
            <color indexed="81"/>
            <rFont val="Tahoma"/>
            <family val="2"/>
          </rPr>
          <t>MHogan:</t>
        </r>
        <r>
          <rPr>
            <sz val="9"/>
            <color indexed="81"/>
            <rFont val="Tahoma"/>
            <family val="2"/>
          </rPr>
          <t xml:space="preserve">
Function of both your target margin and your sales to capital ratio.
Compare this return on capital in year 10 against
a.  the industry average(column E of worksheet)
b. the return on capital after year 10
If it is too high (low), you may want to lower  (raise) your sales to capital ratio
</t>
        </r>
      </text>
    </comment>
    <comment ref="B33" authorId="0" shapeId="0" xr:uid="{BF5ACA5B-AA2F-490E-9AA4-B226113E5A67}">
      <text>
        <r>
          <rPr>
            <b/>
            <sz val="9"/>
            <color indexed="81"/>
            <rFont val="Tahoma"/>
            <family val="2"/>
          </rPr>
          <t>MHogan:</t>
        </r>
        <r>
          <rPr>
            <sz val="9"/>
            <color indexed="81"/>
            <rFont val="Tahoma"/>
            <family val="2"/>
          </rPr>
          <t xml:space="preserve">
The weighted average maturity of your options should be reported in your financial statements</t>
        </r>
      </text>
    </comment>
    <comment ref="B34" authorId="0" shapeId="0" xr:uid="{770DD72E-3895-4F53-BBD4-5FCAD83907C5}">
      <text>
        <r>
          <rPr>
            <b/>
            <sz val="9"/>
            <color indexed="81"/>
            <rFont val="Tahoma"/>
            <family val="2"/>
          </rPr>
          <t>MHogan:</t>
        </r>
        <r>
          <rPr>
            <sz val="9"/>
            <color indexed="81"/>
            <rFont val="Tahoma"/>
            <family val="2"/>
          </rPr>
          <t xml:space="preserve">
If you have a standard deviation for your stock, enter that number. If not, use the industry average standard deviation from the worksheet.</t>
        </r>
      </text>
    </comment>
    <comment ref="B38" authorId="0" shapeId="0" xr:uid="{29FDD8C9-706C-4928-A22C-3E8D5911B121}">
      <text>
        <r>
          <rPr>
            <b/>
            <sz val="9"/>
            <color indexed="81"/>
            <rFont val="Tahoma"/>
            <family val="2"/>
          </rPr>
          <t>MHogan:</t>
        </r>
        <r>
          <rPr>
            <sz val="9"/>
            <color indexed="81"/>
            <rFont val="Tahoma"/>
            <family val="2"/>
          </rPr>
          <t xml:space="preserve">
Mature companies tend to have costs of capital closer to the market average. While the riskfree rate + 4.5% is a close approximation of the average, you can use a slightly higher number (riskfree rate + 6%) for mature companies in riskier businesses and a slightly lower number (risfree rate + 4%) for safer companies.</t>
        </r>
      </text>
    </comment>
    <comment ref="B41" authorId="0" shapeId="0" xr:uid="{5C7B089C-116B-42DA-9B54-52D1B61840FC}">
      <text>
        <r>
          <rPr>
            <b/>
            <sz val="9"/>
            <color indexed="81"/>
            <rFont val="Tahoma"/>
            <family val="2"/>
          </rPr>
          <t>MHogan:</t>
        </r>
        <r>
          <rPr>
            <sz val="9"/>
            <color indexed="81"/>
            <rFont val="Tahoma"/>
            <family val="2"/>
          </rPr>
          <t xml:space="preserve">
The default assumption is that competitive advantages will fade to zero over time. While this is a good assumption for many firms (about 7 in 10), there are some firms with sustainable competitive advantages (brand name, for instance), where the excess returns may continue beyond year 10. If your firm is one of those, you can enter a return on capital higher than your cost of capital in the cell below. Just don't get carried away. At the maximum, the excess return should not exceed 5% for a mature firm.</t>
        </r>
      </text>
    </comment>
    <comment ref="B42" authorId="0" shapeId="0" xr:uid="{21B9F635-5076-408B-AA4C-AC2DCF2AFE12}">
      <text>
        <r>
          <rPr>
            <b/>
            <sz val="9"/>
            <color indexed="81"/>
            <rFont val="Tahoma"/>
            <family val="2"/>
          </rPr>
          <t>MHogan:</t>
        </r>
        <r>
          <rPr>
            <sz val="9"/>
            <color indexed="81"/>
            <rFont val="Tahoma"/>
            <family val="2"/>
          </rPr>
          <t xml:space="preserve">
Even if you believe your firm has significant competitive advantages, don't set this number to more than 5% more than your cost of capital. </t>
        </r>
      </text>
    </comment>
    <comment ref="B44" authorId="0" shapeId="0" xr:uid="{36E6B8A2-F91A-41DA-92B2-84CFAA7C89E5}">
      <text>
        <r>
          <rPr>
            <b/>
            <sz val="9"/>
            <color indexed="81"/>
            <rFont val="Tahoma"/>
            <family val="2"/>
          </rPr>
          <t>MHogan:</t>
        </r>
        <r>
          <rPr>
            <sz val="9"/>
            <color indexed="81"/>
            <rFont val="Tahoma"/>
            <family val="2"/>
          </rPr>
          <t xml:space="preserve">
Companies at either end of the life cycle - young, growth and old, declining firms have a significant likelihood of failure. While we tend to ignore this in conventional DCF, it is worth thinking about whether you want to estimate a probability of failure. It is not easy to do but it can be done by looking at either history (with young, growth companies) or the debt market (with distressed companies).</t>
        </r>
      </text>
    </comment>
    <comment ref="B45" authorId="0" shapeId="0" xr:uid="{FD509DA3-DB9E-4B83-AAF8-C36EEAC49E2C}">
      <text>
        <r>
          <rPr>
            <b/>
            <sz val="9"/>
            <color indexed="81"/>
            <rFont val="Tahoma"/>
            <family val="2"/>
          </rPr>
          <t>MHogan:</t>
        </r>
        <r>
          <rPr>
            <sz val="9"/>
            <color indexed="81"/>
            <rFont val="Tahoma"/>
            <family val="2"/>
          </rPr>
          <t xml:space="preserve">
If you want to look at ways of estimating this probability, try these papers I have on the topic:
For young growth companies: http://papers.ssrn.com/sol3/papers.cfm?abstract_id=1418687  
For declining, distressed companies: http://papers.ssrn.com/sol3/papers.cfm?abstract_id=1428022 </t>
        </r>
      </text>
    </comment>
    <comment ref="B46" authorId="0" shapeId="0" xr:uid="{8E784687-012C-4277-A45A-BB2BD72E855A}">
      <text>
        <r>
          <rPr>
            <b/>
            <sz val="9"/>
            <color indexed="81"/>
            <rFont val="Tahoma"/>
            <family val="2"/>
          </rPr>
          <t>MHogan:</t>
        </r>
        <r>
          <rPr>
            <sz val="9"/>
            <color indexed="81"/>
            <rFont val="Tahoma"/>
            <family val="2"/>
          </rPr>
          <t xml:space="preserve">
If the firm fail and has to liquidate its assets, you need to specify what the liquidation proceeds will be tied to. For young growth companies, I would tie it to value and with distressed firms (especially ones with significant assets in place), I would use book value.</t>
        </r>
      </text>
    </comment>
    <comment ref="B47" authorId="0" shapeId="0" xr:uid="{23CCCA57-4719-4BBA-A037-D9CF384C3C06}">
      <text>
        <r>
          <rPr>
            <b/>
            <sz val="9"/>
            <color indexed="81"/>
            <rFont val="Tahoma"/>
            <family val="2"/>
          </rPr>
          <t>MHogan:</t>
        </r>
        <r>
          <rPr>
            <sz val="9"/>
            <color indexed="81"/>
            <rFont val="Tahoma"/>
            <family val="2"/>
          </rPr>
          <t xml:space="preserve">
You will generally not get 100% of fair value. How much less than 100% you get will depend on whether there are lots of potential buyers for your assets and how much of a hurry you are in to liquidate. It may well be zero for a young growth company with no tangible assets.</t>
        </r>
      </text>
    </comment>
    <comment ref="B49" authorId="0" shapeId="0" xr:uid="{8CCAF460-C846-4B35-9425-07E3865A8A4D}">
      <text>
        <r>
          <rPr>
            <b/>
            <sz val="9"/>
            <color indexed="81"/>
            <rFont val="Tahoma"/>
            <family val="2"/>
          </rPr>
          <t>MHogan:</t>
        </r>
        <r>
          <rPr>
            <sz val="9"/>
            <color indexed="81"/>
            <rFont val="Tahoma"/>
            <family val="2"/>
          </rPr>
          <t xml:space="preserve">
Companies generally pay less than the marginal tax rate on their income. Some of that is due to tax deferral and others to quirks in the tax law. Over time, the conservative assumption is to require the tax rate to move towards the marginal tax rate. However, if you believe that your firm's tax benefits are permanent, you can override this assumption.</t>
        </r>
      </text>
    </comment>
    <comment ref="B52" authorId="0" shapeId="0" xr:uid="{31AA36D0-7450-407C-934C-CBAB82E861DB}">
      <text>
        <r>
          <rPr>
            <b/>
            <sz val="9"/>
            <color indexed="81"/>
            <rFont val="Tahoma"/>
            <family val="2"/>
          </rPr>
          <t>MHogan:</t>
        </r>
        <r>
          <rPr>
            <sz val="9"/>
            <color indexed="81"/>
            <rFont val="Tahoma"/>
            <family val="2"/>
          </rPr>
          <t xml:space="preserve">
This is the NOL from prior years carried forward into this year.</t>
        </r>
      </text>
    </comment>
    <comment ref="B55" authorId="0" shapeId="0" xr:uid="{1E637A27-1498-4F11-A9C4-43DC4375EB03}">
      <text>
        <r>
          <rPr>
            <b/>
            <sz val="9"/>
            <color indexed="81"/>
            <rFont val="Tahoma"/>
            <family val="2"/>
          </rPr>
          <t>MHogan:</t>
        </r>
        <r>
          <rPr>
            <sz val="9"/>
            <color indexed="81"/>
            <rFont val="Tahoma"/>
            <family val="2"/>
          </rPr>
          <t xml:space="preserve">
If your concern is that a portion of the cash is trapped in foreign markets and will be subject to tax, when returned, enter the trapped cash balance. If you feel that the entire cash balance is being discounted because markets don't trust managers, enter the entire cash balance.</t>
        </r>
      </text>
    </comment>
    <comment ref="B56" authorId="0" shapeId="0" xr:uid="{E4B45056-C0F3-482B-876D-753A3EFCDB36}">
      <text>
        <r>
          <rPr>
            <b/>
            <sz val="9"/>
            <color indexed="81"/>
            <rFont val="Tahoma"/>
            <family val="2"/>
          </rPr>
          <t>MHogan:</t>
        </r>
        <r>
          <rPr>
            <sz val="9"/>
            <color indexed="81"/>
            <rFont val="Tahoma"/>
            <family val="2"/>
          </rPr>
          <t xml:space="preserve">
This is the additional tax due, if the cash is trapped cash. If your concern is that all cash is being discounted by the market because of management mistrust, enter the percentage discount to apply to cash.</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MHogan</author>
  </authors>
  <commentList>
    <comment ref="B1" authorId="0" shapeId="0" xr:uid="{A7362E3E-0E5B-4BBE-9D1A-07D0F178836C}">
      <text>
        <r>
          <rPr>
            <b/>
            <sz val="9"/>
            <color indexed="81"/>
            <rFont val="Tahoma"/>
            <family val="2"/>
          </rPr>
          <t>MHogan:</t>
        </r>
        <r>
          <rPr>
            <sz val="9"/>
            <color indexed="81"/>
            <rFont val="Tahoma"/>
            <family val="2"/>
          </rPr>
          <t xml:space="preserve">
Tr 12 mths</t>
        </r>
      </text>
    </comment>
    <comment ref="N5" authorId="0" shapeId="0" xr:uid="{DF6186F7-CED1-4198-BE2E-F6B7F1D37822}">
      <text>
        <r>
          <rPr>
            <b/>
            <sz val="9"/>
            <color indexed="81"/>
            <rFont val="Tahoma"/>
            <charset val="1"/>
          </rPr>
          <t>MHogan:</t>
        </r>
        <r>
          <rPr>
            <sz val="9"/>
            <color indexed="81"/>
            <rFont val="Tahoma"/>
            <charset val="1"/>
          </rPr>
          <t xml:space="preserve">
This is is how much your operating income grew over the ten-year period.
</t>
        </r>
      </text>
    </comment>
    <comment ref="N8" authorId="0" shapeId="0" xr:uid="{89FF021A-6F32-46C0-81D0-5E60C42AD5C5}">
      <text>
        <r>
          <rPr>
            <b/>
            <sz val="9"/>
            <color indexed="81"/>
            <rFont val="Tahoma"/>
            <charset val="1"/>
          </rPr>
          <t>MHogan:</t>
        </r>
        <r>
          <rPr>
            <sz val="9"/>
            <color indexed="81"/>
            <rFont val="Tahoma"/>
            <charset val="1"/>
          </rPr>
          <t xml:space="preserve">
This is how much capital you invested over the ten year period. 
</t>
        </r>
      </text>
    </comment>
    <comment ref="L40" authorId="0" shapeId="0" xr:uid="{3F32FED0-2BB9-4E48-BAD3-6AB0B6CE069A}">
      <text>
        <r>
          <rPr>
            <b/>
            <sz val="9"/>
            <color indexed="81"/>
            <rFont val="Tahoma"/>
            <family val="2"/>
          </rPr>
          <t>MHogan:</t>
        </r>
        <r>
          <rPr>
            <sz val="9"/>
            <color indexed="81"/>
            <rFont val="Tahoma"/>
            <family val="2"/>
          </rPr>
          <t xml:space="preserve">
Don't forget to pay for growth. If this number is too high, make sure to reduce the Sales to capital ratio</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MHogan</author>
  </authors>
  <commentList>
    <comment ref="A1" authorId="0" shapeId="0" xr:uid="{B6CA5910-5132-40D5-ADF6-9476173A3554}">
      <text>
        <r>
          <rPr>
            <b/>
            <sz val="9"/>
            <color indexed="81"/>
            <rFont val="Tahoma"/>
            <family val="2"/>
          </rPr>
          <t>MHogan:</t>
        </r>
        <r>
          <rPr>
            <sz val="9"/>
            <color indexed="81"/>
            <rFont val="Tahoma"/>
            <family val="2"/>
          </rPr>
          <t xml:space="preserve">
Capitalizing R&amp;D is not always going to increase the value of the stock. Take AMGN and MRK for example, when making the R&amp;D adjustment for AMGN, the value of the stock rises significantly. For Merck, it is the opposite 
Why?
Amgen earns a much higher return on capital in R&amp;D than Merck. Just looking at Net Income hides this fact. "Beauty and the Beast". You were wasting money. "Take the mask off". 
It is not necessarily bad R&amp;D that leads to this, it is just the risks of pharma companies and the long R&amp;D process. </t>
        </r>
      </text>
    </comment>
    <comment ref="F6" authorId="0" shapeId="0" xr:uid="{62C3B3C4-3969-4BCF-A48F-F09149438E80}">
      <text>
        <r>
          <rPr>
            <b/>
            <sz val="9"/>
            <color indexed="81"/>
            <rFont val="Tahoma"/>
            <family val="2"/>
          </rPr>
          <t>MHogan:</t>
        </r>
        <r>
          <rPr>
            <sz val="9"/>
            <color indexed="81"/>
            <rFont val="Tahoma"/>
            <family val="2"/>
          </rPr>
          <t xml:space="preserve">
How long do you assume the life of the R&amp;D to be? For a pharma company, it does R&amp;D one year and won't see the benefits from it sometimes for 10, 15, 20 years. 
For a mobile phone company, the products cycles are much shorter, sometimes only 1, 2, 3 years. 
R&amp;D is for long-term growth, and while it is uncertain, so is building plants or buying land for manufacturing firms. Tech and Pharma companies may be having its earnings understated because of how R&amp;D is accounted for. </t>
        </r>
      </text>
    </comment>
    <comment ref="D40" authorId="0" shapeId="0" xr:uid="{BE55B508-67DE-46F4-9EE7-F98A13F54C36}">
      <text>
        <r>
          <rPr>
            <b/>
            <sz val="9"/>
            <color indexed="81"/>
            <rFont val="Tahoma"/>
            <family val="2"/>
          </rPr>
          <t>MHogan:</t>
        </r>
        <r>
          <rPr>
            <sz val="9"/>
            <color indexed="81"/>
            <rFont val="Tahoma"/>
            <family val="2"/>
          </rPr>
          <t xml:space="preserve">
By expensing R&amp;D rather than capitalizing it, the firm gets a tax benefit. This is the dollar value of that tax benefit.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MHogan</author>
  </authors>
  <commentList>
    <comment ref="A22" authorId="0" shapeId="0" xr:uid="{7A60021C-EE5A-4705-AD82-3ED481C260DD}">
      <text>
        <r>
          <rPr>
            <b/>
            <sz val="9"/>
            <color indexed="81"/>
            <rFont val="Tahoma"/>
            <family val="2"/>
          </rPr>
          <t>MHogan:</t>
        </r>
        <r>
          <rPr>
            <sz val="9"/>
            <color indexed="81"/>
            <rFont val="Tahoma"/>
            <family val="2"/>
          </rPr>
          <t xml:space="preserve">
(Enter 1 if large manufacturing firm, 2 if smaller or riskier firm, 3 if financial service firm). 
Small &lt; $5 bil</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MHogan</author>
  </authors>
  <commentList>
    <comment ref="D148" authorId="0" shapeId="0" xr:uid="{C4F8D6AE-58E6-48DF-A4E7-F7AC7F850FFA}">
      <text>
        <r>
          <rPr>
            <b/>
            <sz val="9"/>
            <color indexed="81"/>
            <rFont val="Tahoma"/>
            <charset val="1"/>
          </rPr>
          <t>MHogan:</t>
        </r>
        <r>
          <rPr>
            <sz val="9"/>
            <color indexed="81"/>
            <rFont val="Tahoma"/>
            <charset val="1"/>
          </rPr>
          <t xml:space="preserve">
This is the estimate for the ERP for a mature market, that then updates all of the ERP for other countries by adding the CRP to it. I update the ERP for the S&amp;P 500 at the start of every month on my website (damodaran.com) and if you want, you can change this number to ther most recent update.</t>
        </r>
      </text>
    </comment>
  </commentList>
</comments>
</file>

<file path=xl/sharedStrings.xml><?xml version="1.0" encoding="utf-8"?>
<sst xmlns="http://schemas.openxmlformats.org/spreadsheetml/2006/main" count="1485" uniqueCount="679">
  <si>
    <t>Date of valuation</t>
  </si>
  <si>
    <t>Company name</t>
  </si>
  <si>
    <t>Country of incorporation</t>
  </si>
  <si>
    <t>Industry (US)</t>
  </si>
  <si>
    <t>Industry (Global)</t>
  </si>
  <si>
    <t>Revenues</t>
  </si>
  <si>
    <t>Operating income or EBIT</t>
  </si>
  <si>
    <t>Interest expense</t>
  </si>
  <si>
    <t>Book value of equity</t>
  </si>
  <si>
    <t>Book value of debt</t>
  </si>
  <si>
    <t>Do you have R&amp;D expenses to capitalize?</t>
  </si>
  <si>
    <t>Do you have operating lease commitments?</t>
  </si>
  <si>
    <t>Cash and Marketable Securities</t>
  </si>
  <si>
    <t>Cross holdings and other non-operating assets</t>
  </si>
  <si>
    <t>Minority interests</t>
  </si>
  <si>
    <t>Number of shares outstanding =</t>
  </si>
  <si>
    <t>Current stock price =</t>
  </si>
  <si>
    <t>Effective tax rate =</t>
  </si>
  <si>
    <t>Marginal tax rate =</t>
  </si>
  <si>
    <t>The value drivers below:</t>
  </si>
  <si>
    <t>Compounded annual revenue growth rate over next 5 years =</t>
  </si>
  <si>
    <t>Target pre-tax operating margin (EBIT as % of sales in year 10) =</t>
  </si>
  <si>
    <t>Sales to capital ratio  (for computing reinvestment) =</t>
  </si>
  <si>
    <t xml:space="preserve">Market numbers </t>
  </si>
  <si>
    <t>Riskfree rate</t>
    <phoneticPr fontId="0" type="noConversion"/>
  </si>
  <si>
    <t>Initial cost of capital =</t>
  </si>
  <si>
    <t>Other inputs</t>
  </si>
  <si>
    <t>Do you have employee options outstanding?</t>
  </si>
  <si>
    <t>Number of options outstanding =</t>
  </si>
  <si>
    <t>Average strike price =</t>
  </si>
  <si>
    <t>Average maturity =</t>
  </si>
  <si>
    <t>Standard deviation on stock price =</t>
  </si>
  <si>
    <t>Numbers from your base year below (in consistent units)</t>
  </si>
  <si>
    <t>This year</t>
  </si>
  <si>
    <t>Last year</t>
  </si>
  <si>
    <t>Country</t>
  </si>
  <si>
    <t>Region</t>
  </si>
  <si>
    <t>Abu Dhabi</t>
  </si>
  <si>
    <t>Middle East</t>
  </si>
  <si>
    <t>Albania</t>
  </si>
  <si>
    <t>Eastern Europe &amp; Russia</t>
  </si>
  <si>
    <t>Andorra</t>
  </si>
  <si>
    <t>Western Europe</t>
  </si>
  <si>
    <t>Angola</t>
  </si>
  <si>
    <t>Africa</t>
  </si>
  <si>
    <t>Argentina</t>
  </si>
  <si>
    <t>Central and South America</t>
  </si>
  <si>
    <t>Armenia</t>
  </si>
  <si>
    <t>Aruba</t>
  </si>
  <si>
    <t>Caribbean</t>
  </si>
  <si>
    <t>Australia</t>
  </si>
  <si>
    <t>Australia &amp; New Zealand</t>
  </si>
  <si>
    <t>Austria</t>
  </si>
  <si>
    <t>Azerbaijan</t>
  </si>
  <si>
    <t>Bahamas</t>
  </si>
  <si>
    <t>Bahrain</t>
  </si>
  <si>
    <t>Bangladesh</t>
  </si>
  <si>
    <t>Asia</t>
  </si>
  <si>
    <t>Barbados</t>
  </si>
  <si>
    <t>Belarus</t>
  </si>
  <si>
    <t>Belgium</t>
  </si>
  <si>
    <t>Belize</t>
  </si>
  <si>
    <t>Benin</t>
  </si>
  <si>
    <t>Bermuda</t>
  </si>
  <si>
    <t>Bolivia</t>
  </si>
  <si>
    <t>Bosnia and Herzegovina</t>
  </si>
  <si>
    <t>Botswana</t>
  </si>
  <si>
    <t>Brazil</t>
  </si>
  <si>
    <t>Bulgaria</t>
  </si>
  <si>
    <t>Burkina Faso</t>
  </si>
  <si>
    <t>Cambodia</t>
  </si>
  <si>
    <t>Cameroon</t>
  </si>
  <si>
    <t>Canada</t>
  </si>
  <si>
    <t>North America</t>
  </si>
  <si>
    <t>Cape Verde</t>
  </si>
  <si>
    <t>Cayman Islands</t>
  </si>
  <si>
    <t>Chile</t>
  </si>
  <si>
    <t>China</t>
  </si>
  <si>
    <t>Colombia</t>
  </si>
  <si>
    <t>Congo (Democratic Republic of)</t>
  </si>
  <si>
    <t>Congo (Republic of)</t>
  </si>
  <si>
    <t>Cook Islands</t>
  </si>
  <si>
    <t>Costa Rica</t>
  </si>
  <si>
    <t>Côte d'Ivoire</t>
  </si>
  <si>
    <t>Croatia</t>
  </si>
  <si>
    <t>Cuba</t>
  </si>
  <si>
    <t>Curacao</t>
  </si>
  <si>
    <t>Cyprus</t>
  </si>
  <si>
    <t>Czech Republic</t>
  </si>
  <si>
    <t>Democratic Republic of Congo</t>
  </si>
  <si>
    <t>Denmark</t>
  </si>
  <si>
    <t>Dominican Republic</t>
  </si>
  <si>
    <t>Ecuador</t>
  </si>
  <si>
    <t>Egypt</t>
  </si>
  <si>
    <t>El Salvador</t>
  </si>
  <si>
    <t>Estonia</t>
  </si>
  <si>
    <t>Ethiopia</t>
  </si>
  <si>
    <t>Fiji</t>
  </si>
  <si>
    <t>Finland</t>
  </si>
  <si>
    <t>France</t>
  </si>
  <si>
    <t>Gabon</t>
  </si>
  <si>
    <t>Georgia</t>
  </si>
  <si>
    <t>Germany</t>
  </si>
  <si>
    <t>Ghana</t>
  </si>
  <si>
    <t>Greece</t>
  </si>
  <si>
    <t>Guatemala</t>
  </si>
  <si>
    <t>Guernsey (States of)</t>
  </si>
  <si>
    <t>Honduras</t>
  </si>
  <si>
    <t>Hong Kong</t>
  </si>
  <si>
    <t>Hungary</t>
  </si>
  <si>
    <t>Iceland</t>
  </si>
  <si>
    <t>India</t>
  </si>
  <si>
    <t>Indonesia</t>
  </si>
  <si>
    <t>Iraq</t>
  </si>
  <si>
    <t>Ireland</t>
  </si>
  <si>
    <t>Isle of Man</t>
  </si>
  <si>
    <t>Israel</t>
  </si>
  <si>
    <t>Italy</t>
  </si>
  <si>
    <t>Jamaica</t>
  </si>
  <si>
    <t>Japan</t>
  </si>
  <si>
    <t>Jersey (States of)</t>
  </si>
  <si>
    <t>Jordan</t>
  </si>
  <si>
    <t>Kazakhstan</t>
  </si>
  <si>
    <t>Kenya</t>
  </si>
  <si>
    <t>Korea</t>
  </si>
  <si>
    <t>Kuwait</t>
  </si>
  <si>
    <t>Kyrgyzstan</t>
  </si>
  <si>
    <t>Latvia</t>
  </si>
  <si>
    <t>Lebanon</t>
  </si>
  <si>
    <t>Liechtenstein</t>
  </si>
  <si>
    <t>Lithuania</t>
  </si>
  <si>
    <t>Luxembourg</t>
  </si>
  <si>
    <t>Macao</t>
  </si>
  <si>
    <t>Macedonia</t>
  </si>
  <si>
    <t>Malaysia</t>
  </si>
  <si>
    <t>Malta</t>
  </si>
  <si>
    <t>Mauritius</t>
  </si>
  <si>
    <t>Mexico</t>
  </si>
  <si>
    <t>Moldova</t>
  </si>
  <si>
    <t>Mongolia</t>
  </si>
  <si>
    <t>Montenegro</t>
  </si>
  <si>
    <t>Montserrat</t>
  </si>
  <si>
    <t>Morocco</t>
  </si>
  <si>
    <t>Mozambique</t>
  </si>
  <si>
    <t>Namibia</t>
  </si>
  <si>
    <t>Netherlands</t>
  </si>
  <si>
    <t>New Zealand</t>
  </si>
  <si>
    <t>Nicaragua</t>
  </si>
  <si>
    <t>Nigeria</t>
  </si>
  <si>
    <t>Norway</t>
  </si>
  <si>
    <t>Oman</t>
  </si>
  <si>
    <t>Pakistan</t>
  </si>
  <si>
    <t>Panama</t>
  </si>
  <si>
    <t>Papua New Guinea</t>
  </si>
  <si>
    <t>Paraguay</t>
  </si>
  <si>
    <t>Peru</t>
  </si>
  <si>
    <t>Philippines</t>
  </si>
  <si>
    <t>Poland</t>
  </si>
  <si>
    <t>Portugal</t>
  </si>
  <si>
    <t>Qatar</t>
  </si>
  <si>
    <t>Ras Al Kaminah</t>
  </si>
  <si>
    <t>Republic of the Congo</t>
  </si>
  <si>
    <t>Romania</t>
  </si>
  <si>
    <t>Russia</t>
  </si>
  <si>
    <t>Rwanda</t>
  </si>
  <si>
    <t>Saudi Arabia</t>
  </si>
  <si>
    <t>Senegal</t>
  </si>
  <si>
    <t>Serbia</t>
  </si>
  <si>
    <t>Sharjah</t>
  </si>
  <si>
    <t>Singapore</t>
  </si>
  <si>
    <t>Slovakia</t>
  </si>
  <si>
    <t>Slovenia</t>
  </si>
  <si>
    <t>South Africa</t>
  </si>
  <si>
    <t>Spain</t>
  </si>
  <si>
    <t>Sri Lanka</t>
  </si>
  <si>
    <t>St. Maarten</t>
  </si>
  <si>
    <t>St. Vincent &amp; the Grenadines</t>
  </si>
  <si>
    <t>Suriname</t>
  </si>
  <si>
    <t>Swaziland</t>
  </si>
  <si>
    <t>Sweden</t>
  </si>
  <si>
    <t>Switzerland</t>
  </si>
  <si>
    <t>Taiwan</t>
  </si>
  <si>
    <t>Tajikistan</t>
  </si>
  <si>
    <t>Thailand</t>
  </si>
  <si>
    <t>Trinidad and Tobago</t>
  </si>
  <si>
    <t>Tunisia</t>
  </si>
  <si>
    <t>Turkey</t>
  </si>
  <si>
    <t>Turkmenistan</t>
  </si>
  <si>
    <t>Turks and Caicos</t>
  </si>
  <si>
    <t>Uganda</t>
  </si>
  <si>
    <t>Ukraine</t>
  </si>
  <si>
    <t>United Arab Emirates</t>
  </si>
  <si>
    <t>United Kingdom</t>
  </si>
  <si>
    <t>United States</t>
  </si>
  <si>
    <t>Uruguay</t>
  </si>
  <si>
    <t>Venezuela</t>
  </si>
  <si>
    <t>Vietnam</t>
  </si>
  <si>
    <t>Zambia</t>
  </si>
  <si>
    <t>Industry Name</t>
  </si>
  <si>
    <t>Advertising</t>
  </si>
  <si>
    <t>Aerospace/Defense</t>
  </si>
  <si>
    <t>Air Transport</t>
  </si>
  <si>
    <t>Apparel</t>
  </si>
  <si>
    <t>Auto &amp; Truck</t>
  </si>
  <si>
    <t>Auto Parts</t>
  </si>
  <si>
    <t>Bank (Money Center)</t>
  </si>
  <si>
    <t>Banks (Regional)</t>
  </si>
  <si>
    <t>Beverage (Alcoholic)</t>
  </si>
  <si>
    <t>Beverage (Soft)</t>
  </si>
  <si>
    <t>Broadcasting</t>
  </si>
  <si>
    <t>Brokerage &amp; Investment Banking</t>
  </si>
  <si>
    <t>Building Materials</t>
  </si>
  <si>
    <t>Business &amp; Consumer Services</t>
  </si>
  <si>
    <t>Cable TV</t>
  </si>
  <si>
    <t>Chemical (Basic)</t>
  </si>
  <si>
    <t>Chemical (Diversified)</t>
  </si>
  <si>
    <t>Chemical (Specialty)</t>
  </si>
  <si>
    <t>Coal &amp; Related Energy</t>
  </si>
  <si>
    <t>Computer Services</t>
  </si>
  <si>
    <t>Computers/Peripherals</t>
  </si>
  <si>
    <t>Construction Supplies</t>
  </si>
  <si>
    <t>Diversified</t>
  </si>
  <si>
    <t>Drugs (Biotechnology)</t>
  </si>
  <si>
    <t>Drugs (Pharmaceutical)</t>
  </si>
  <si>
    <t>Education</t>
  </si>
  <si>
    <t>Electrical Equipment</t>
  </si>
  <si>
    <t>Electronics (Consumer &amp; Office)</t>
  </si>
  <si>
    <t>Electronics (General)</t>
  </si>
  <si>
    <t>Engineering/Construction</t>
  </si>
  <si>
    <t>Entertainment</t>
  </si>
  <si>
    <t>Environmental &amp; Waste Services</t>
  </si>
  <si>
    <t>Farming/Agriculture</t>
  </si>
  <si>
    <t>Financial Svcs. (Non-bank &amp; Insurance)</t>
  </si>
  <si>
    <t>Food Processing</t>
  </si>
  <si>
    <t>Food Wholesalers</t>
  </si>
  <si>
    <t>Furn/Home Furnishings</t>
  </si>
  <si>
    <t>Green &amp; Renewable Energy</t>
  </si>
  <si>
    <t>Healthcare Products</t>
  </si>
  <si>
    <t>Healthcare Support Services</t>
  </si>
  <si>
    <t>Heathcare Information and Technology</t>
  </si>
  <si>
    <t>Homebuilding</t>
  </si>
  <si>
    <t>Hospitals/Healthcare Facilities</t>
  </si>
  <si>
    <t>Hotel/Gaming</t>
  </si>
  <si>
    <t>Household Products</t>
  </si>
  <si>
    <t>Information Services</t>
  </si>
  <si>
    <t>Insurance (General)</t>
  </si>
  <si>
    <t>Insurance (Life)</t>
  </si>
  <si>
    <t>Insurance (Prop/Cas.)</t>
  </si>
  <si>
    <t>Investments &amp; Asset Management</t>
  </si>
  <si>
    <t>Machinery</t>
  </si>
  <si>
    <t>Metals &amp; Mining</t>
  </si>
  <si>
    <t>Office Equipment &amp; Services</t>
  </si>
  <si>
    <t>Oil/Gas (Integrated)</t>
  </si>
  <si>
    <t>Oil/Gas (Production and Exploration)</t>
  </si>
  <si>
    <t>Oil/Gas Distribution</t>
  </si>
  <si>
    <t>Oilfield Svcs/Equip.</t>
  </si>
  <si>
    <t>Packaging &amp; Container</t>
  </si>
  <si>
    <t>Paper/Forest Products</t>
  </si>
  <si>
    <t>Power</t>
  </si>
  <si>
    <t>Precious Metals</t>
  </si>
  <si>
    <t>Publishing &amp; Newspapers</t>
  </si>
  <si>
    <t>R.E.I.T.</t>
  </si>
  <si>
    <t>Real Estate (Development)</t>
  </si>
  <si>
    <t>Real Estate (General/Diversified)</t>
  </si>
  <si>
    <t>Real Estate (Operations &amp; Services)</t>
  </si>
  <si>
    <t>Recreation</t>
  </si>
  <si>
    <t>Reinsurance</t>
  </si>
  <si>
    <t>Restaurant/Dining</t>
  </si>
  <si>
    <t>Retail (Automotive)</t>
  </si>
  <si>
    <t>Retail (Building Supply)</t>
  </si>
  <si>
    <t>Retail (Distributors)</t>
  </si>
  <si>
    <t>Retail (General)</t>
  </si>
  <si>
    <t>Retail (Grocery and Food)</t>
  </si>
  <si>
    <t>Retail (Online)</t>
  </si>
  <si>
    <t>Retail (Special Lines)</t>
  </si>
  <si>
    <t>Rubber&amp; Tires</t>
  </si>
  <si>
    <t>Semiconductor</t>
  </si>
  <si>
    <t>Semiconductor Equip</t>
  </si>
  <si>
    <t>Shipbuilding &amp; Marine</t>
  </si>
  <si>
    <t>Shoe</t>
  </si>
  <si>
    <t>Software (Entertainment)</t>
  </si>
  <si>
    <t>Software (Internet)</t>
  </si>
  <si>
    <t>Software (System &amp; Application)</t>
  </si>
  <si>
    <t>Steel</t>
  </si>
  <si>
    <t>Telecom (Wireless)</t>
  </si>
  <si>
    <t>Telecom. Equipment</t>
  </si>
  <si>
    <t>Telecom. Services</t>
  </si>
  <si>
    <t>Tobacco</t>
  </si>
  <si>
    <t>Transportation</t>
  </si>
  <si>
    <t>Transportation (Railroads)</t>
  </si>
  <si>
    <t>Trucking</t>
  </si>
  <si>
    <t>Utility (General)</t>
  </si>
  <si>
    <t>Utility (Water)</t>
  </si>
  <si>
    <t>Years since last year</t>
  </si>
  <si>
    <t>yes</t>
  </si>
  <si>
    <t>no</t>
  </si>
  <si>
    <t xml:space="preserve">If you want to capitalize R&amp;D, you have to input the numbers into the R&amp;D worksheet. </t>
  </si>
  <si>
    <t>If you have operating leases, please enter your lease commitments in the lease worksheet below and I will convert to debt</t>
  </si>
  <si>
    <t>Growth Lever</t>
  </si>
  <si>
    <t>Profitability Lever</t>
  </si>
  <si>
    <t>Efficency of Growth Lever</t>
  </si>
  <si>
    <t>CoC worksheet</t>
  </si>
  <si>
    <t>Default assumptions</t>
  </si>
  <si>
    <t>In stable growth, I will assume that your firm will have a cost of capital similar to that of typical mature companies (riskfree rate + 4.5%)</t>
  </si>
  <si>
    <t>Do you want to override this assumption =</t>
  </si>
  <si>
    <t>If yes, enter the cost of capital after year 10 =</t>
  </si>
  <si>
    <t>I will assume that your firm will earn a return on capital equal to its cost of capital after year 10. I am assuming that whatever competitive advantages you have today will fade over time.</t>
  </si>
  <si>
    <t>If yes, enter the return on capital you expect after year 10</t>
  </si>
  <si>
    <t>I will assume that your firm has no chance of failure over the foreseeable future.</t>
  </si>
  <si>
    <t>If yes, enter the probability of failure =</t>
  </si>
  <si>
    <t>What do you want to tie your proceeds in failure to?</t>
  </si>
  <si>
    <t>Enter the distress proceeds as percentage of book or fair value</t>
  </si>
  <si>
    <t>I will assume that your effective tax rate will adjust to your marginal tax rate by your terminal year. If you override this assumption, I will leave the tax rate at your effective tax rate.</t>
  </si>
  <si>
    <t>I will assume that you have no losses carried forward from prior years ( NOL) coming into the valuation. If you have a money losing company, you may want to override tis.</t>
  </si>
  <si>
    <t>If yes, enter the NOL that you are carrying over into year 1</t>
  </si>
  <si>
    <t>I have assumed that none of the cash is trapped (in foreign countries) and that there is no additional tax liability coming due</t>
  </si>
  <si>
    <t>Do you want to override this assumption</t>
  </si>
  <si>
    <t>If yes, enter the amount of trapped cash</t>
  </si>
  <si>
    <t>&amp; Average tax rate of the foreign markets where the cash is trapped</t>
  </si>
  <si>
    <t>B</t>
  </si>
  <si>
    <t>V</t>
  </si>
  <si>
    <t>Mature companies generally see their risk levels approach the average</t>
  </si>
  <si>
    <t>Though some sectors, even in stable growth, may have higher risk.</t>
  </si>
  <si>
    <t>Mature companies find it difficult to generate returns that exceed the cost of capital</t>
  </si>
  <si>
    <t>But there are significant exceptions among companies with long-lasting competitive advantages.</t>
  </si>
  <si>
    <t>Many young, growth companies fail, especially if they have trouble raising cash. Many distressed companies fail, because they have trouble making debt payments.</t>
  </si>
  <si>
    <t>Tough to estimate but a key input.</t>
  </si>
  <si>
    <t>B: Book value of capital, V= Estimated fair value for the company</t>
  </si>
  <si>
    <t>This can be zero, if the assets will be worth nothing if the firm fails.</t>
  </si>
  <si>
    <t>Check the financial statements.</t>
  </si>
  <si>
    <t>An NOL will shield your income from taxes, even after you start making money.</t>
  </si>
  <si>
    <t>Computed numbers: Here is what your company's numbers look like, relative to industry.</t>
  </si>
  <si>
    <t>If you are not working in US dollars, you should add the inflation differential to the industry averages.</t>
  </si>
  <si>
    <t>Revenue growth in the most recent year =</t>
  </si>
  <si>
    <t>Pre-tax operating margin in the most recent year =</t>
  </si>
  <si>
    <t>Sales to capital ratio in most recent year =</t>
  </si>
  <si>
    <t>Return on invested capital in most recent year=</t>
  </si>
  <si>
    <t>Standard deviation in stock prices =</t>
  </si>
  <si>
    <t>Cost of capital =</t>
  </si>
  <si>
    <t>Company</t>
  </si>
  <si>
    <t>Industry (US data)</t>
  </si>
  <si>
    <t>Industry (Global data)</t>
  </si>
  <si>
    <t>Valuation Output Feedback (for you to use to fine tune your inputs, if you want</t>
  </si>
  <si>
    <t>Revenues in year 10, based on your revenue growth =</t>
  </si>
  <si>
    <t>Pre-tax Operating Income in year 10, based on your operating margin =</t>
  </si>
  <si>
    <t>Return on invested capital in year 10, based on your sales/capital ratio =</t>
  </si>
  <si>
    <t>Check the Diagnostics worksheet for more details.</t>
  </si>
  <si>
    <t>Base year</t>
  </si>
  <si>
    <t>Terminal year</t>
  </si>
  <si>
    <t>Revenue growth rate</t>
  </si>
  <si>
    <t>EBIT (Operating) margin</t>
  </si>
  <si>
    <t>EBIT (Operating income)</t>
  </si>
  <si>
    <t>Tax rate</t>
  </si>
  <si>
    <t>EBIT(1-t)</t>
  </si>
  <si>
    <t xml:space="preserve"> - Reinvestment</t>
  </si>
  <si>
    <t>FCFF</t>
  </si>
  <si>
    <t>NOL</t>
  </si>
  <si>
    <t>Cost of capital</t>
  </si>
  <si>
    <t>Cumulated discount factor</t>
  </si>
  <si>
    <t>PV(FCFF)</t>
  </si>
  <si>
    <t>Terminal cash flow</t>
  </si>
  <si>
    <t>Terminal cost of capital</t>
  </si>
  <si>
    <t>Terminal value</t>
  </si>
  <si>
    <t>PV(Terminal value)</t>
  </si>
  <si>
    <t>PV (CF over next 10 years)</t>
  </si>
  <si>
    <t>Sum of PV</t>
  </si>
  <si>
    <t>Probability of failure =</t>
  </si>
  <si>
    <t>Proceeds if firm fails =</t>
  </si>
  <si>
    <t>Value of operating assets =</t>
  </si>
  <si>
    <t xml:space="preserve"> - Debt</t>
  </si>
  <si>
    <t xml:space="preserve"> - Minority interests</t>
  </si>
  <si>
    <t xml:space="preserve"> +  Cash</t>
  </si>
  <si>
    <t xml:space="preserve"> + Non-operating assets</t>
  </si>
  <si>
    <t>Value of equity</t>
  </si>
  <si>
    <t xml:space="preserve"> - Value of options</t>
  </si>
  <si>
    <t>Value of equity in common stock</t>
  </si>
  <si>
    <t>Number of shares</t>
  </si>
  <si>
    <t>Estimated value /share</t>
  </si>
  <si>
    <t>Price</t>
  </si>
  <si>
    <t>Price as % of value</t>
  </si>
  <si>
    <t>Implied variables</t>
  </si>
  <si>
    <t>Sales to capital ratio</t>
  </si>
  <si>
    <t>Invested capital</t>
  </si>
  <si>
    <t>ROIC</t>
  </si>
  <si>
    <t>Valuing Options or Warrants</t>
  </si>
  <si>
    <t>Enter the current stock price =</t>
  </si>
  <si>
    <t>Enter the strike price on the option =</t>
  </si>
  <si>
    <t>Enter the expiration of the option =</t>
  </si>
  <si>
    <t>Enter the standard deviation in stock prices =</t>
  </si>
  <si>
    <t>Enter the annualized dividend yield on stock =</t>
  </si>
  <si>
    <t>Enter the treasury bond rate =</t>
  </si>
  <si>
    <t>Enter the number of warrants (options) outstanding =</t>
  </si>
  <si>
    <t>Enter the number of shares outstanding =</t>
  </si>
  <si>
    <t>Do not input any numbers below this line</t>
  </si>
  <si>
    <t>VALUING WARRANTS WHEN THERE IS DILUTION</t>
  </si>
  <si>
    <t>Stock Price=</t>
  </si>
  <si>
    <t>Strike Price=</t>
  </si>
  <si>
    <t>Adjusted S =</t>
  </si>
  <si>
    <t>Adjusted K =</t>
  </si>
  <si>
    <t>Expiration (in years) =</t>
  </si>
  <si>
    <t xml:space="preserve">d1 = </t>
  </si>
  <si>
    <t>N (d1) =</t>
  </si>
  <si>
    <t xml:space="preserve">d2 = </t>
  </si>
  <si>
    <t>N (d2) =</t>
  </si>
  <si>
    <t xml:space="preserve">Value per option = </t>
  </si>
  <si>
    <t>Value of all options outstanding =</t>
  </si>
  <si>
    <t># Warrants issued=</t>
  </si>
  <si>
    <t># Shares outstanding=</t>
  </si>
  <si>
    <t>T.Bond rate=</t>
  </si>
  <si>
    <t>Variance=</t>
  </si>
  <si>
    <t>Annualized dividend yield=</t>
  </si>
  <si>
    <t>Div. Adj. interest rate=</t>
  </si>
  <si>
    <t>R &amp; D Converter</t>
  </si>
  <si>
    <t>This spreadsheet converts R&amp;D expenses from operating to capital expenses. It makes the appropriate adjustments to operating income, net</t>
  </si>
  <si>
    <t>income, the book value of assets and the book value of equity.</t>
  </si>
  <si>
    <t>Inputs</t>
  </si>
  <si>
    <t>Over how many years do you want to amortize R&amp;D expenses</t>
  </si>
  <si>
    <t>Enter the current year's R&amp;D expense =</t>
  </si>
  <si>
    <t>Enter R&amp; D expenses for past years: the number of years that you will need to enter will be determined by the amortization period</t>
  </si>
  <si>
    <t>Do not input numbers in the first column (Year). It will get automatically updated  based on the input above.</t>
  </si>
  <si>
    <t>Year</t>
  </si>
  <si>
    <t>Output</t>
  </si>
  <si>
    <t>Current</t>
  </si>
  <si>
    <t>Value of Research Asset =</t>
  </si>
  <si>
    <t>Amortization of asset for current year =</t>
  </si>
  <si>
    <t>Adjustment to Operating Income =</t>
  </si>
  <si>
    <t>Tax Effect of R&amp;D Expensing</t>
  </si>
  <si>
    <t>R&amp;D Expense</t>
  </si>
  <si>
    <t>Unamortized portion</t>
  </si>
  <si>
    <t>Amortization this year</t>
  </si>
  <si>
    <t>! A positive number indicates an increase in operating income (add to reported EBIT)</t>
  </si>
  <si>
    <t>! If in doubt, use the lookup table below</t>
  </si>
  <si>
    <t>The maximum allowed is ten years</t>
  </si>
  <si>
    <t>! Year -1 is the year prior to the current year</t>
  </si>
  <si>
    <t>! Year -2 is the two years prior to the current year</t>
  </si>
  <si>
    <t>R&amp; D Expenses</t>
  </si>
  <si>
    <t>Operating lease expense in current year =</t>
  </si>
  <si>
    <t>Operating Lease Commitments (From footnote to financials)</t>
  </si>
  <si>
    <t>6 and beyond</t>
  </si>
  <si>
    <t>Pre-tax Cost of Debt =</t>
  </si>
  <si>
    <t>Number of years embedded in yr 6 estimate =</t>
  </si>
  <si>
    <t>Converting Operating Leases into debt</t>
  </si>
  <si>
    <t>Debt Value of leases =</t>
  </si>
  <si>
    <t>Restated Financials</t>
  </si>
  <si>
    <t>Depreciation on Operating Lease Asset =</t>
  </si>
  <si>
    <t>Adjustment to Operating Earnings =</t>
  </si>
  <si>
    <t>Adjustment to Total Debt outstanding =</t>
  </si>
  <si>
    <t>Adjustment to Depreciation =</t>
  </si>
  <si>
    <t>Commitment</t>
  </si>
  <si>
    <t>! Year 1 is next year, ….</t>
  </si>
  <si>
    <t>Present Value</t>
  </si>
  <si>
    <t>! If you do not have a cost of debt, use the synthetic rating estimator</t>
  </si>
  <si>
    <t>! Commitment beyond year 6 converted into an annuity for ten years</t>
  </si>
  <si>
    <t>! I use the average lease expense over the first five years</t>
  </si>
  <si>
    <t>to estimate the number of years of expenses in yr 6</t>
  </si>
  <si>
    <t>! I use straight line depreciation</t>
  </si>
  <si>
    <t>! Add this amount to pre-tax operating income</t>
  </si>
  <si>
    <t>! Add this amount to debt</t>
  </si>
  <si>
    <t>Operating Lease Converter</t>
  </si>
  <si>
    <t>The yellow cells are input cells. Please enter them.</t>
  </si>
  <si>
    <t>Estimation of Current Cost of Capital</t>
  </si>
  <si>
    <t>Equity</t>
  </si>
  <si>
    <t>Number of Shares outstanding =</t>
  </si>
  <si>
    <t>Current Market Price per share =</t>
  </si>
  <si>
    <t>Approach for estimating beta</t>
  </si>
  <si>
    <t>If direct input, enter levered beta (or regression beta)</t>
  </si>
  <si>
    <t>Unlevered beta =</t>
  </si>
  <si>
    <t>Riskfree Rate =</t>
  </si>
  <si>
    <t>What approach do you want to use to input ERP?</t>
  </si>
  <si>
    <t>Direct input for ERP (if you choose "will input"</t>
  </si>
  <si>
    <t>Equity Risk Premium used in cost of equity =</t>
  </si>
  <si>
    <t>Debt</t>
  </si>
  <si>
    <t>Book Value of Straight Debt =</t>
  </si>
  <si>
    <t>Interest Expense on Debt =</t>
  </si>
  <si>
    <t>Average Maturity =</t>
  </si>
  <si>
    <t>Approach for estimating pre-tax cost of debt</t>
  </si>
  <si>
    <t>If direct input, input the pre-tax cost of debt</t>
  </si>
  <si>
    <t>If actual rating, input the rating</t>
  </si>
  <si>
    <t>If synethetic rating, input the type of company</t>
  </si>
  <si>
    <t>Tax Rate =</t>
  </si>
  <si>
    <t>Book Value of Convertible Debt =</t>
  </si>
  <si>
    <t>Interest Expense on Convertible =</t>
  </si>
  <si>
    <t>Maturity of Convertible Bond =</t>
  </si>
  <si>
    <t>Market Value of Convertible =</t>
  </si>
  <si>
    <t>Debt value of operating leases =</t>
  </si>
  <si>
    <t>Preferred Stock</t>
  </si>
  <si>
    <t>Number of Preferred Shares =</t>
  </si>
  <si>
    <t>Current Market Price per Share=</t>
  </si>
  <si>
    <t>Annual Dividend per Share =</t>
  </si>
  <si>
    <t>Estimating Market Value of Straight Debt =</t>
  </si>
  <si>
    <t>Estimated Value of Straight Debt in Convertible =</t>
  </si>
  <si>
    <t>Value of Debt in Operating leases =</t>
  </si>
  <si>
    <t>Estimated Value of Equity in Convertible =</t>
  </si>
  <si>
    <t>Levered Beta for equity =</t>
  </si>
  <si>
    <t>Market Value</t>
  </si>
  <si>
    <t>Weight in Cost of Capital</t>
  </si>
  <si>
    <t>Cost of Component</t>
  </si>
  <si>
    <t>Single Business(Global)</t>
  </si>
  <si>
    <t>Operating regions</t>
  </si>
  <si>
    <t>Synthetic rating</t>
  </si>
  <si>
    <t>Baa2/BBB</t>
  </si>
  <si>
    <t xml:space="preserve">Debt </t>
  </si>
  <si>
    <t>Capital</t>
  </si>
  <si>
    <t>This one^</t>
  </si>
  <si>
    <t>Operating Countries ERP calculator</t>
  </si>
  <si>
    <t>Total</t>
  </si>
  <si>
    <t>Operating Regions ERP calculator</t>
  </si>
  <si>
    <t>Multi Business (US Industry Averages)</t>
  </si>
  <si>
    <t>Business</t>
  </si>
  <si>
    <t>Multi Business (Global Industry Averages)</t>
  </si>
  <si>
    <t>ERP</t>
  </si>
  <si>
    <t>EV/Sales</t>
  </si>
  <si>
    <t>Weight</t>
  </si>
  <si>
    <t>Estimated Value</t>
  </si>
  <si>
    <t>Weighted ERP</t>
  </si>
  <si>
    <t>Unlevered Beta</t>
  </si>
  <si>
    <t>Inputs for synthetic rating estimation</t>
  </si>
  <si>
    <t>Please read the special cases worksheet (see below) before you use this spreadsheet.</t>
  </si>
  <si>
    <t>Before you use this spreadsheet, make sure that the iteration box (under calculation options in excel) is checked.</t>
  </si>
  <si>
    <t>Enter the type of firm =</t>
  </si>
  <si>
    <t>Enter current Earnings before interest and taxes (EBIT) =</t>
  </si>
  <si>
    <t>Enter current interest expenses =</t>
  </si>
  <si>
    <t>Enter long term risk free rate  =</t>
  </si>
  <si>
    <t>Interest  coverage ratio =</t>
  </si>
  <si>
    <t>Estimated Bond Rating =</t>
  </si>
  <si>
    <t>Estimated Company Default Spread =</t>
  </si>
  <si>
    <t>Estimated County Default Spread (if any) =</t>
  </si>
  <si>
    <t>Estimated Cost of Debt =</t>
  </si>
  <si>
    <t xml:space="preserve"> If you want to update the spreads listed below, please visit http://www.bondsonline.com</t>
  </si>
  <si>
    <t>For large manufacturing firms</t>
  </si>
  <si>
    <t>If interest coverage ratio is</t>
  </si>
  <si>
    <t>&gt;</t>
  </si>
  <si>
    <t>For smaller and riskier firms</t>
  </si>
  <si>
    <t>greater than</t>
  </si>
  <si>
    <t>≤ to</t>
  </si>
  <si>
    <t>Rating is</t>
  </si>
  <si>
    <t>Spread is</t>
  </si>
  <si>
    <t>D2/D</t>
  </si>
  <si>
    <t>Caa/CCC</t>
  </si>
  <si>
    <t>Ca2/CC</t>
  </si>
  <si>
    <t>C2/C</t>
  </si>
  <si>
    <t>B3/B-</t>
  </si>
  <si>
    <t>B2/B</t>
  </si>
  <si>
    <t>B1/B+</t>
  </si>
  <si>
    <t>Ba2/BB</t>
  </si>
  <si>
    <t>Ba1/BB+</t>
  </si>
  <si>
    <t>A3/A-</t>
  </si>
  <si>
    <t>A2/A</t>
  </si>
  <si>
    <t>A1/A+</t>
  </si>
  <si>
    <t>Aa2/AA</t>
  </si>
  <si>
    <t>Aaa/AAA</t>
  </si>
  <si>
    <t>Note: If you get REF! All over the place, set the operating lease commitment question in cell F5</t>
  </si>
  <si>
    <t>to No, and then reset it to Yes. It should work.</t>
  </si>
  <si>
    <t>(Add back only long term interest expense for financial firms)</t>
  </si>
  <si>
    <t>(Use only long term interest expense for financial firms)</t>
  </si>
  <si>
    <t>Direct input</t>
  </si>
  <si>
    <t>Single Business(US)</t>
  </si>
  <si>
    <t>Multibusiness(US)</t>
  </si>
  <si>
    <t>Multibusiness(Global)</t>
  </si>
  <si>
    <t>Will input</t>
  </si>
  <si>
    <t>Operating countries</t>
  </si>
  <si>
    <t>Actual rating</t>
  </si>
  <si>
    <t>Number of firms</t>
  </si>
  <si>
    <t>Annual Average Revenue growth - Last 5 years</t>
  </si>
  <si>
    <t>Pre-tax Operating Margin</t>
  </si>
  <si>
    <t>After-tax ROC</t>
  </si>
  <si>
    <t>Average effective tax rate</t>
  </si>
  <si>
    <t>Equity (Levered) Beta</t>
  </si>
  <si>
    <t>Cost of equity</t>
  </si>
  <si>
    <t>Std deviation in stock prices</t>
  </si>
  <si>
    <t>Pre-tax cost of debt</t>
  </si>
  <si>
    <t>Market Debt/Capital</t>
  </si>
  <si>
    <t>Sales/Capital</t>
  </si>
  <si>
    <t>EV/EBITDA</t>
  </si>
  <si>
    <t>EV/EBIT</t>
  </si>
  <si>
    <t>Price/Book</t>
  </si>
  <si>
    <t>Trailing PE</t>
  </si>
  <si>
    <t>Non-cash WC as % of Revenues</t>
  </si>
  <si>
    <t>Cap Ex as % of Revenues</t>
  </si>
  <si>
    <t>Net Cap Ex as % of Revenues</t>
  </si>
  <si>
    <t>Reinvestment Rate</t>
  </si>
  <si>
    <t>ROE</t>
  </si>
  <si>
    <t>Dividend Payout Ratio</t>
  </si>
  <si>
    <t>Equity Reinvestment Rate</t>
  </si>
  <si>
    <t>NA</t>
  </si>
  <si>
    <t>GDP (in billions)</t>
  </si>
  <si>
    <t>Adj. Default Spread</t>
  </si>
  <si>
    <t>Total Risk Premium</t>
  </si>
  <si>
    <t>Country Risk Premium</t>
  </si>
  <si>
    <t>Corporate Tax Rate</t>
  </si>
  <si>
    <t>Andorra (Principality of)</t>
  </si>
  <si>
    <t>Ras Al Khaimah (Emirate of)</t>
  </si>
  <si>
    <t>Turks and Caicos Islands</t>
  </si>
  <si>
    <t>Weighted Average: TRP</t>
  </si>
  <si>
    <t>Weighted Average: CRP</t>
  </si>
  <si>
    <t>Weighted Average: Default Spreads</t>
  </si>
  <si>
    <t>Tax Rate</t>
  </si>
  <si>
    <t>Global</t>
  </si>
  <si>
    <t>After year 10</t>
  </si>
  <si>
    <t>TTM calculator</t>
  </si>
  <si>
    <t>Last 10K</t>
  </si>
  <si>
    <t>First X months: Last year</t>
  </si>
  <si>
    <t>First X months: Current year</t>
  </si>
  <si>
    <t>Trailing 12 month</t>
  </si>
  <si>
    <t>R&amp;D expense</t>
  </si>
  <si>
    <t>Interest expenses</t>
  </si>
  <si>
    <t>Rest of World</t>
  </si>
  <si>
    <t>Maldives</t>
  </si>
  <si>
    <t>Solomon Islands</t>
  </si>
  <si>
    <t>Tanzania</t>
  </si>
  <si>
    <t>Mature, riskier</t>
  </si>
  <si>
    <t>Mature, safer</t>
  </si>
  <si>
    <t>Strong competitive advantages</t>
  </si>
  <si>
    <t>Some competitive advantages</t>
  </si>
  <si>
    <t>Initial CoC</t>
  </si>
  <si>
    <t>Mature, riskier CoC</t>
  </si>
  <si>
    <t>Mature, safer CoC</t>
  </si>
  <si>
    <t>Don't exceed 5%</t>
  </si>
  <si>
    <t>Year 10 Revs</t>
  </si>
  <si>
    <t>Year 10 Rev Growth rate</t>
  </si>
  <si>
    <t>Is this growth rate bigger than the economy's growth rate?</t>
  </si>
  <si>
    <t>Are these revenues larger than the total market?</t>
  </si>
  <si>
    <t>Rev growth rates</t>
  </si>
  <si>
    <t>Earnings growth rates</t>
  </si>
  <si>
    <t>Difference</t>
  </si>
  <si>
    <t>Is earnings growth exceeding revenue growth?</t>
  </si>
  <si>
    <t>initial CoC</t>
  </si>
  <si>
    <t>Yr 10 CoC</t>
  </si>
  <si>
    <t>Value Narrative</t>
  </si>
  <si>
    <t>High Growth?</t>
  </si>
  <si>
    <t>Rel to US</t>
  </si>
  <si>
    <t>Rel to Global</t>
  </si>
  <si>
    <t>Low Risk?</t>
  </si>
  <si>
    <t xml:space="preserve">Cost of capital in Year 10 = </t>
  </si>
  <si>
    <t>If growth is higher than US or Global, is Risk also higher? Generally, it is unlikely you can generate higher returns without the risk</t>
  </si>
  <si>
    <t>High Reinvestment?</t>
  </si>
  <si>
    <t>Low Reinvestment?</t>
  </si>
  <si>
    <t>If Growth is high, is Reinvesment low? Higher growth should generally require more reinvestment</t>
  </si>
  <si>
    <t>If Risk is low, is Reinvestment high? Low risk generally comes with low reinvestment</t>
  </si>
  <si>
    <t>Current Price</t>
  </si>
  <si>
    <t>Cost of Equity</t>
  </si>
  <si>
    <t>Dividend Yield</t>
  </si>
  <si>
    <t>CoE - Div Yield</t>
  </si>
  <si>
    <t>Price Target 1 Yr</t>
  </si>
  <si>
    <t>Price Target 2 Yr</t>
  </si>
  <si>
    <t>Up/Down</t>
  </si>
  <si>
    <t>Plus Div</t>
  </si>
  <si>
    <t>Price Targets</t>
  </si>
  <si>
    <t>A higher sales to capital means more efficient reinvestment</t>
  </si>
  <si>
    <t>To increase reinvestment, lower your sales to capital</t>
  </si>
  <si>
    <t>Years 1-2</t>
  </si>
  <si>
    <t>Years 3-5</t>
  </si>
  <si>
    <t>EBIT cur (TTM)</t>
  </si>
  <si>
    <t>EBIT last yr</t>
  </si>
  <si>
    <t>EBIT yr before</t>
  </si>
  <si>
    <t>3 yr avg. EBIT</t>
  </si>
  <si>
    <t>EBIT 10 yr ago</t>
  </si>
  <si>
    <t>EBIT 9 yr ago</t>
  </si>
  <si>
    <t>EBIT 8 yr ago</t>
  </si>
  <si>
    <t>diff</t>
  </si>
  <si>
    <t>% diff</t>
  </si>
  <si>
    <t>est. ebit growth</t>
  </si>
  <si>
    <t>EBIT growth</t>
  </si>
  <si>
    <t>TTM</t>
  </si>
  <si>
    <t>Amortization of acquired intangibles</t>
  </si>
  <si>
    <t>Cur Year</t>
  </si>
  <si>
    <t>Last Year</t>
  </si>
  <si>
    <t>EBIT GAAP</t>
  </si>
  <si>
    <t>Adj EBIT</t>
  </si>
  <si>
    <t>Legacy Obligations</t>
  </si>
  <si>
    <t>Amort of acq intangibles</t>
  </si>
  <si>
    <t>Adj EBIT TTM</t>
  </si>
  <si>
    <t>ERP Link</t>
  </si>
  <si>
    <t>Video: How to use this spreadsheet</t>
  </si>
  <si>
    <t>Input (You enter the number)</t>
  </si>
  <si>
    <t>Drop down menu (You select an option)</t>
  </si>
  <si>
    <t>Cell color keys</t>
  </si>
  <si>
    <t>Calculation (Excel does the work for you)</t>
  </si>
  <si>
    <t>Murphy USA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</si>
</sst>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6" formatCode="&quot;$&quot;#,##0_);[Red]\(&quot;$&quot;#,##0\)"/>
    <numFmt numFmtId="8" formatCode="&quot;$&quot;#,##0.00_);[Red]\(&quot;$&quot;#,##0.00\)"/>
    <numFmt numFmtId="44" formatCode="_(&quot;$&quot;* #,##0.00_);_(&quot;$&quot;* \(#,##0.00\);_(&quot;$&quot;* &quot;-&quot;??_);_(@_)"/>
    <numFmt numFmtId="164" formatCode="0.0000"/>
    <numFmt numFmtId="165" formatCode="&quot;$&quot;#,##0.00"/>
    <numFmt numFmtId="166" formatCode="0.0%"/>
  </numFmts>
  <fonts count="34">
    <font>
      <sz val="11"/>
      <color theme="1"/>
      <name val="Calibri"/>
      <family val="2"/>
      <scheme val="minor"/>
    </font>
    <font>
      <sz val="11"/>
      <color theme="1"/>
      <name val="Calibri"/>
      <family val="2"/>
      <scheme val="minor"/>
    </font>
    <font>
      <b/>
      <sz val="11"/>
      <color theme="1"/>
      <name val="Calibri"/>
      <family val="2"/>
      <scheme val="minor"/>
    </font>
    <font>
      <b/>
      <sz val="12"/>
      <color theme="1"/>
      <name val="Calibri"/>
      <family val="2"/>
      <scheme val="minor"/>
    </font>
    <font>
      <i/>
      <sz val="11"/>
      <color rgb="FF0070C0"/>
      <name val="Calibri"/>
      <family val="2"/>
      <scheme val="minor"/>
    </font>
    <font>
      <sz val="11"/>
      <color rgb="FF3F3F76"/>
      <name val="Calibri"/>
      <family val="2"/>
      <scheme val="minor"/>
    </font>
    <font>
      <sz val="10"/>
      <name val="Times"/>
    </font>
    <font>
      <sz val="9"/>
      <name val="Times"/>
    </font>
    <font>
      <sz val="10"/>
      <name val="Calibri"/>
      <family val="2"/>
      <scheme val="minor"/>
    </font>
    <font>
      <sz val="10"/>
      <name val="Geneva"/>
    </font>
    <font>
      <i/>
      <sz val="10"/>
      <name val="Calibri"/>
      <family val="2"/>
      <scheme val="minor"/>
    </font>
    <font>
      <sz val="10"/>
      <name val="Calibri"/>
      <family val="2"/>
      <scheme val="minor"/>
    </font>
    <font>
      <i/>
      <sz val="9"/>
      <name val="Geneva"/>
    </font>
    <font>
      <i/>
      <sz val="9"/>
      <name val="Calibri"/>
      <family val="2"/>
      <scheme val="minor"/>
    </font>
    <font>
      <i/>
      <sz val="12"/>
      <name val="Calibri"/>
      <family val="2"/>
      <scheme val="minor"/>
    </font>
    <font>
      <sz val="12"/>
      <name val="Calibri"/>
      <family val="2"/>
      <scheme val="minor"/>
    </font>
    <font>
      <b/>
      <sz val="15"/>
      <color theme="3"/>
      <name val="Calibri"/>
      <family val="2"/>
      <scheme val="minor"/>
    </font>
    <font>
      <b/>
      <sz val="11"/>
      <color rgb="FF3F3F3F"/>
      <name val="Calibri"/>
      <family val="2"/>
      <scheme val="minor"/>
    </font>
    <font>
      <b/>
      <sz val="11"/>
      <color rgb="FFFA7D00"/>
      <name val="Calibri"/>
      <family val="2"/>
      <scheme val="minor"/>
    </font>
    <font>
      <sz val="12"/>
      <color theme="1"/>
      <name val="Calibri"/>
      <family val="2"/>
      <scheme val="minor"/>
    </font>
    <font>
      <sz val="10"/>
      <name val="Arial"/>
      <family val="2"/>
    </font>
    <font>
      <sz val="9"/>
      <color indexed="81"/>
      <name val="Tahoma"/>
      <family val="2"/>
    </font>
    <font>
      <b/>
      <sz val="9"/>
      <color indexed="81"/>
      <name val="Tahoma"/>
      <family val="2"/>
    </font>
    <font>
      <i/>
      <sz val="11"/>
      <color theme="1"/>
      <name val="Calibri"/>
      <family val="2"/>
      <scheme val="minor"/>
    </font>
    <font>
      <u/>
      <sz val="11"/>
      <color theme="10"/>
      <name val="Calibri"/>
      <family val="2"/>
      <scheme val="minor"/>
    </font>
    <font>
      <sz val="9"/>
      <color indexed="81"/>
      <name val="Tahoma"/>
      <charset val="1"/>
    </font>
    <font>
      <b/>
      <sz val="9"/>
      <color indexed="81"/>
      <name val="Tahoma"/>
      <charset val="1"/>
    </font>
    <font>
      <sz val="11"/>
      <name val="Calibri"/>
      <family val="2"/>
      <scheme val="minor"/>
    </font>
    <font>
      <b/>
      <sz val="11"/>
      <name val="Calibri"/>
      <family val="2"/>
      <scheme val="minor"/>
    </font>
    <font>
      <u/>
      <sz val="12"/>
      <color theme="10"/>
      <name val="Calibri"/>
      <family val="2"/>
      <scheme val="minor"/>
    </font>
    <font>
      <sz val="10"/>
      <name val="Geneva"/>
      <family val="2"/>
    </font>
    <font>
      <sz val="9"/>
      <name val="Geneva"/>
      <family val="2"/>
    </font>
    <font>
      <u/>
      <sz val="9"/>
      <color indexed="12"/>
      <name val="Geneva"/>
      <family val="2"/>
    </font>
    <font>
      <b/>
      <sz val="11"/>
      <color indexed="9"/>
      <name val="Calibri"/>
      <family val="2"/>
    </font>
  </fonts>
  <fills count="16">
    <fill>
      <patternFill patternType="none"/>
    </fill>
    <fill>
      <patternFill patternType="gray125"/>
    </fill>
    <fill>
      <patternFill patternType="solid">
        <fgColor rgb="FFFFCC99"/>
      </patternFill>
    </fill>
    <fill>
      <patternFill patternType="solid">
        <fgColor rgb="FFF2F2F2"/>
      </patternFill>
    </fill>
    <fill>
      <patternFill patternType="solid">
        <fgColor theme="4" tint="0.79998168889431442"/>
        <bgColor indexed="65"/>
      </patternFill>
    </fill>
    <fill>
      <patternFill patternType="solid">
        <fgColor theme="7" tint="0.79998168889431442"/>
        <bgColor indexed="64"/>
      </patternFill>
    </fill>
    <fill>
      <patternFill patternType="solid">
        <fgColor theme="6" tint="0.79998168889431442"/>
        <bgColor indexed="64"/>
      </patternFill>
    </fill>
    <fill>
      <patternFill patternType="solid">
        <fgColor theme="6" tint="0.39997558519241921"/>
        <bgColor indexed="65"/>
      </patternFill>
    </fill>
    <fill>
      <patternFill patternType="solid">
        <fgColor theme="3" tint="0.79998168889431442"/>
        <bgColor indexed="64"/>
      </patternFill>
    </fill>
    <fill>
      <patternFill patternType="solid">
        <fgColor theme="1"/>
        <bgColor indexed="64"/>
      </patternFill>
    </fill>
    <fill>
      <patternFill patternType="solid">
        <fgColor theme="5" tint="0.79998168889431442"/>
        <bgColor indexed="65"/>
      </patternFill>
    </fill>
    <fill>
      <patternFill patternType="solid">
        <fgColor theme="7" tint="0.79998168889431442"/>
        <bgColor indexed="65"/>
      </patternFill>
    </fill>
    <fill>
      <patternFill patternType="solid">
        <fgColor rgb="FFFFFF00"/>
        <bgColor indexed="64"/>
      </patternFill>
    </fill>
    <fill>
      <patternFill patternType="solid">
        <fgColor theme="9" tint="0.79998168889431442"/>
        <bgColor indexed="64"/>
      </patternFill>
    </fill>
    <fill>
      <patternFill patternType="solid">
        <fgColor theme="4" tint="0.79998168889431442"/>
        <bgColor indexed="64"/>
      </patternFill>
    </fill>
    <fill>
      <patternFill patternType="solid">
        <fgColor rgb="FF4F81BD"/>
        <bgColor indexed="64"/>
      </patternFill>
    </fill>
  </fills>
  <borders count="20">
    <border>
      <left/>
      <right/>
      <top/>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rgb="FF7F7F7F"/>
      </left>
      <right style="thin">
        <color rgb="FF7F7F7F"/>
      </right>
      <top style="thin">
        <color rgb="FF7F7F7F"/>
      </top>
      <bottom style="thin">
        <color rgb="FF7F7F7F"/>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bottom style="thick">
        <color theme="4"/>
      </bottom>
      <diagonal/>
    </border>
    <border>
      <left style="thin">
        <color rgb="FF3F3F3F"/>
      </left>
      <right style="thin">
        <color rgb="FF3F3F3F"/>
      </right>
      <top style="thin">
        <color rgb="FF3F3F3F"/>
      </top>
      <bottom style="thin">
        <color rgb="FF3F3F3F"/>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rgb="FF7F7F7F"/>
      </left>
      <right style="thin">
        <color rgb="FF7F7F7F"/>
      </right>
      <top style="thin">
        <color rgb="FF7F7F7F"/>
      </top>
      <bottom/>
      <diagonal/>
    </border>
    <border>
      <left style="thin">
        <color rgb="FF7F7F7F"/>
      </left>
      <right style="thin">
        <color rgb="FF7F7F7F"/>
      </right>
      <top/>
      <bottom style="thin">
        <color rgb="FF7F7F7F"/>
      </bottom>
      <diagonal/>
    </border>
    <border>
      <left style="thin">
        <color rgb="FF7F7F7F"/>
      </left>
      <right/>
      <top/>
      <bottom/>
      <diagonal/>
    </border>
  </borders>
  <cellStyleXfs count="25">
    <xf numFmtId="0" fontId="0" fillId="0" borderId="0"/>
    <xf numFmtId="9" fontId="1" fillId="0" borderId="0" applyFont="0" applyFill="0" applyBorder="0" applyAlignment="0" applyProtection="0"/>
    <xf numFmtId="0" fontId="5" fillId="2" borderId="9" applyNumberFormat="0" applyAlignment="0" applyProtection="0"/>
    <xf numFmtId="0" fontId="16" fillId="0" borderId="13" applyNumberFormat="0" applyFill="0" applyAlignment="0" applyProtection="0"/>
    <xf numFmtId="0" fontId="17" fillId="3" borderId="14" applyNumberFormat="0" applyAlignment="0" applyProtection="0"/>
    <xf numFmtId="0" fontId="18" fillId="3" borderId="9" applyNumberFormat="0" applyAlignment="0" applyProtection="0"/>
    <xf numFmtId="0" fontId="1" fillId="4" borderId="0" applyNumberFormat="0" applyBorder="0" applyAlignment="0" applyProtection="0"/>
    <xf numFmtId="0" fontId="19" fillId="0" borderId="0"/>
    <xf numFmtId="9" fontId="19" fillId="0" borderId="0" applyFont="0" applyFill="0" applyBorder="0" applyAlignment="0" applyProtection="0"/>
    <xf numFmtId="44" fontId="1" fillId="0" borderId="0" applyFont="0" applyFill="0" applyBorder="0" applyAlignment="0" applyProtection="0"/>
    <xf numFmtId="0" fontId="1" fillId="7" borderId="0" applyNumberFormat="0" applyBorder="0" applyAlignment="0" applyProtection="0"/>
    <xf numFmtId="0" fontId="24" fillId="0" borderId="0" applyNumberFormat="0" applyFill="0" applyBorder="0" applyAlignment="0" applyProtection="0"/>
    <xf numFmtId="0" fontId="20" fillId="0" borderId="0"/>
    <xf numFmtId="9" fontId="20"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29" fillId="0" borderId="0" applyNumberFormat="0" applyFill="0" applyBorder="0" applyAlignment="0" applyProtection="0"/>
    <xf numFmtId="0" fontId="9" fillId="0" borderId="0"/>
    <xf numFmtId="44" fontId="30" fillId="0" borderId="0" applyFont="0" applyFill="0" applyBorder="0" applyAlignment="0" applyProtection="0"/>
    <xf numFmtId="9" fontId="30" fillId="0" borderId="0" applyFont="0" applyFill="0" applyBorder="0" applyAlignment="0" applyProtection="0"/>
    <xf numFmtId="0" fontId="31" fillId="0" borderId="0"/>
    <xf numFmtId="0" fontId="33" fillId="15" borderId="0"/>
    <xf numFmtId="0" fontId="32" fillId="0" borderId="0" applyNumberFormat="0" applyFill="0" applyBorder="0" applyAlignment="0" applyProtection="0">
      <alignment vertical="top"/>
      <protection locked="0"/>
    </xf>
    <xf numFmtId="9" fontId="31" fillId="0" borderId="0" applyFont="0" applyFill="0" applyBorder="0" applyAlignment="0" applyProtection="0"/>
    <xf numFmtId="44" fontId="31" fillId="0" borderId="0" applyFont="0" applyFill="0" applyBorder="0" applyAlignment="0" applyProtection="0"/>
  </cellStyleXfs>
  <cellXfs count="148">
    <xf numFmtId="0" fontId="0" fillId="0" borderId="0" xfId="0"/>
    <xf numFmtId="0" fontId="2" fillId="0" borderId="0" xfId="0" applyFont="1"/>
    <xf numFmtId="0" fontId="3" fillId="0" borderId="0" xfId="0" applyFont="1"/>
    <xf numFmtId="10" fontId="0" fillId="0" borderId="0" xfId="0" applyNumberFormat="1"/>
    <xf numFmtId="0" fontId="4" fillId="0" borderId="0" xfId="0" applyFont="1"/>
    <xf numFmtId="0" fontId="0" fillId="0" borderId="4" xfId="0" applyBorder="1"/>
    <xf numFmtId="0" fontId="0" fillId="0" borderId="6" xfId="0" applyBorder="1"/>
    <xf numFmtId="0" fontId="0" fillId="0" borderId="2" xfId="0" applyBorder="1"/>
    <xf numFmtId="0" fontId="0" fillId="0" borderId="1" xfId="0" applyBorder="1"/>
    <xf numFmtId="0" fontId="0" fillId="0" borderId="3" xfId="0" applyBorder="1"/>
    <xf numFmtId="0" fontId="0" fillId="0" borderId="5" xfId="0" applyBorder="1"/>
    <xf numFmtId="0" fontId="0" fillId="0" borderId="7" xfId="0" applyBorder="1"/>
    <xf numFmtId="0" fontId="0" fillId="0" borderId="8" xfId="0" applyBorder="1"/>
    <xf numFmtId="0" fontId="6" fillId="0" borderId="0" xfId="0" applyFont="1"/>
    <xf numFmtId="2" fontId="7" fillId="0" borderId="0" xfId="0" applyNumberFormat="1" applyFont="1"/>
    <xf numFmtId="0" fontId="6" fillId="0" borderId="10" xfId="0" applyFont="1" applyBorder="1" applyAlignment="1">
      <alignment horizontal="center"/>
    </xf>
    <xf numFmtId="0" fontId="8" fillId="0" borderId="10" xfId="0" applyFont="1" applyBorder="1" applyAlignment="1">
      <alignment horizontal="center"/>
    </xf>
    <xf numFmtId="10" fontId="8" fillId="0" borderId="8" xfId="0" applyNumberFormat="1" applyFont="1" applyBorder="1" applyAlignment="1">
      <alignment horizontal="center"/>
    </xf>
    <xf numFmtId="0" fontId="9" fillId="0" borderId="0" xfId="0" applyFont="1"/>
    <xf numFmtId="0" fontId="6" fillId="0" borderId="10" xfId="0" applyFont="1" applyBorder="1" applyAlignment="1">
      <alignment horizontal="centerContinuous"/>
    </xf>
    <xf numFmtId="0" fontId="10" fillId="0" borderId="10" xfId="0" applyFont="1" applyBorder="1" applyAlignment="1">
      <alignment horizontal="center"/>
    </xf>
    <xf numFmtId="0" fontId="11" fillId="0" borderId="10" xfId="0" applyFont="1" applyBorder="1" applyAlignment="1">
      <alignment horizontal="center"/>
    </xf>
    <xf numFmtId="10" fontId="11" fillId="0" borderId="10" xfId="0" applyNumberFormat="1" applyFont="1" applyBorder="1" applyAlignment="1">
      <alignment horizontal="center"/>
    </xf>
    <xf numFmtId="10" fontId="11" fillId="0" borderId="11" xfId="0" applyNumberFormat="1" applyFont="1" applyBorder="1" applyAlignment="1">
      <alignment horizontal="center"/>
    </xf>
    <xf numFmtId="0" fontId="5" fillId="2" borderId="9" xfId="2"/>
    <xf numFmtId="0" fontId="12" fillId="0" borderId="0" xfId="0" applyFont="1"/>
    <xf numFmtId="0" fontId="13" fillId="0" borderId="10" xfId="0" applyFont="1" applyBorder="1" applyAlignment="1">
      <alignment wrapText="1"/>
    </xf>
    <xf numFmtId="0" fontId="14" fillId="0" borderId="10" xfId="0" applyFont="1" applyBorder="1"/>
    <xf numFmtId="0" fontId="15" fillId="0" borderId="10" xfId="0" applyFont="1" applyBorder="1" applyAlignment="1">
      <alignment horizontal="center"/>
    </xf>
    <xf numFmtId="0" fontId="14" fillId="0" borderId="12" xfId="0" applyFont="1" applyBorder="1" applyAlignment="1">
      <alignment horizontal="center"/>
    </xf>
    <xf numFmtId="0" fontId="13" fillId="0" borderId="10" xfId="0" applyFont="1" applyBorder="1"/>
    <xf numFmtId="0" fontId="13" fillId="0" borderId="10" xfId="0" applyFont="1" applyBorder="1" applyAlignment="1">
      <alignment horizontal="center"/>
    </xf>
    <xf numFmtId="0" fontId="0" fillId="0" borderId="10" xfId="0" applyBorder="1"/>
    <xf numFmtId="10" fontId="0" fillId="0" borderId="10" xfId="0" applyNumberFormat="1" applyBorder="1" applyAlignment="1">
      <alignment horizontal="center"/>
    </xf>
    <xf numFmtId="0" fontId="1" fillId="4" borderId="0" xfId="6"/>
    <xf numFmtId="44" fontId="5" fillId="2" borderId="9" xfId="2" applyNumberFormat="1"/>
    <xf numFmtId="0" fontId="1" fillId="4" borderId="0" xfId="6" applyAlignment="1">
      <alignment horizontal="center"/>
    </xf>
    <xf numFmtId="0" fontId="5" fillId="2" borderId="9" xfId="2" applyNumberFormat="1" applyAlignment="1">
      <alignment horizontal="center"/>
    </xf>
    <xf numFmtId="9" fontId="5" fillId="2" borderId="9" xfId="2" applyNumberFormat="1" applyAlignment="1">
      <alignment horizontal="center"/>
    </xf>
    <xf numFmtId="2" fontId="5" fillId="2" borderId="9" xfId="2" applyNumberFormat="1" applyAlignment="1">
      <alignment horizontal="center"/>
    </xf>
    <xf numFmtId="10" fontId="5" fillId="2" borderId="9" xfId="2" applyNumberFormat="1" applyAlignment="1">
      <alignment horizontal="center"/>
    </xf>
    <xf numFmtId="0" fontId="18" fillId="3" borderId="9" xfId="5"/>
    <xf numFmtId="0" fontId="5" fillId="2" borderId="9" xfId="2" applyAlignment="1">
      <alignment horizontal="center"/>
    </xf>
    <xf numFmtId="8" fontId="5" fillId="2" borderId="9" xfId="2" applyNumberFormat="1" applyAlignment="1">
      <alignment horizontal="center"/>
    </xf>
    <xf numFmtId="14" fontId="5" fillId="2" borderId="9" xfId="2" applyNumberFormat="1" applyAlignment="1">
      <alignment horizontal="center"/>
    </xf>
    <xf numFmtId="44" fontId="18" fillId="3" borderId="9" xfId="5" applyNumberFormat="1"/>
    <xf numFmtId="10" fontId="18" fillId="3" borderId="9" xfId="5" applyNumberFormat="1"/>
    <xf numFmtId="9" fontId="18" fillId="3" borderId="9" xfId="5" applyNumberFormat="1"/>
    <xf numFmtId="2" fontId="18" fillId="3" borderId="9" xfId="5" applyNumberFormat="1"/>
    <xf numFmtId="164" fontId="18" fillId="3" borderId="9" xfId="5" applyNumberFormat="1"/>
    <xf numFmtId="44" fontId="17" fillId="3" borderId="14" xfId="4" applyNumberFormat="1"/>
    <xf numFmtId="0" fontId="16" fillId="0" borderId="13" xfId="3"/>
    <xf numFmtId="6" fontId="18" fillId="3" borderId="9" xfId="5" applyNumberFormat="1"/>
    <xf numFmtId="0" fontId="13" fillId="0" borderId="0" xfId="0" applyFont="1" applyAlignment="1">
      <alignment wrapText="1"/>
    </xf>
    <xf numFmtId="10" fontId="20" fillId="0" borderId="0" xfId="0" applyNumberFormat="1" applyFont="1"/>
    <xf numFmtId="10" fontId="5" fillId="2" borderId="9" xfId="2" applyNumberFormat="1"/>
    <xf numFmtId="0" fontId="17" fillId="3" borderId="14" xfId="4"/>
    <xf numFmtId="10" fontId="17" fillId="3" borderId="14" xfId="4" applyNumberFormat="1"/>
    <xf numFmtId="10" fontId="17" fillId="3" borderId="14" xfId="1" applyNumberFormat="1" applyFont="1" applyFill="1" applyBorder="1"/>
    <xf numFmtId="10" fontId="18" fillId="3" borderId="9" xfId="1" applyNumberFormat="1" applyFont="1" applyFill="1" applyBorder="1"/>
    <xf numFmtId="44" fontId="18" fillId="3" borderId="9" xfId="9" applyFont="1" applyFill="1" applyBorder="1"/>
    <xf numFmtId="0" fontId="0" fillId="0" borderId="10" xfId="0" applyBorder="1" applyAlignment="1">
      <alignment horizontal="center"/>
    </xf>
    <xf numFmtId="0" fontId="8" fillId="0" borderId="10" xfId="0" applyFont="1" applyBorder="1"/>
    <xf numFmtId="165" fontId="0" fillId="0" borderId="10" xfId="0" applyNumberFormat="1" applyBorder="1" applyAlignment="1">
      <alignment horizontal="center"/>
    </xf>
    <xf numFmtId="165" fontId="0" fillId="0" borderId="10" xfId="0" applyNumberFormat="1" applyBorder="1"/>
    <xf numFmtId="2" fontId="0" fillId="0" borderId="0" xfId="0" applyNumberFormat="1"/>
    <xf numFmtId="2" fontId="20" fillId="0" borderId="0" xfId="0" applyNumberFormat="1" applyFont="1"/>
    <xf numFmtId="10" fontId="0" fillId="0" borderId="0" xfId="1" applyNumberFormat="1" applyFont="1"/>
    <xf numFmtId="0" fontId="13" fillId="5" borderId="10" xfId="0" applyFont="1" applyFill="1" applyBorder="1" applyAlignment="1">
      <alignment wrapText="1"/>
    </xf>
    <xf numFmtId="0" fontId="13" fillId="5" borderId="15" xfId="0" applyFont="1" applyFill="1" applyBorder="1" applyAlignment="1">
      <alignment wrapText="1"/>
    </xf>
    <xf numFmtId="0" fontId="0" fillId="6" borderId="0" xfId="0" applyFill="1"/>
    <xf numFmtId="0" fontId="0" fillId="0" borderId="2" xfId="0" applyBorder="1" applyAlignment="1">
      <alignment horizontal="center"/>
    </xf>
    <xf numFmtId="0" fontId="0" fillId="0" borderId="3" xfId="0" applyBorder="1" applyAlignment="1">
      <alignment horizontal="center"/>
    </xf>
    <xf numFmtId="10" fontId="0" fillId="0" borderId="6" xfId="0" applyNumberFormat="1" applyBorder="1" applyAlignment="1">
      <alignment horizontal="center"/>
    </xf>
    <xf numFmtId="10" fontId="0" fillId="0" borderId="8" xfId="0" applyNumberFormat="1" applyBorder="1" applyAlignment="1">
      <alignment horizontal="center"/>
    </xf>
    <xf numFmtId="10" fontId="0" fillId="0" borderId="6" xfId="0" applyNumberFormat="1" applyBorder="1"/>
    <xf numFmtId="10" fontId="0" fillId="0" borderId="7" xfId="0" applyNumberFormat="1" applyBorder="1"/>
    <xf numFmtId="10" fontId="0" fillId="0" borderId="8" xfId="0" applyNumberFormat="1" applyBorder="1"/>
    <xf numFmtId="10" fontId="5" fillId="2" borderId="9" xfId="1" applyNumberFormat="1" applyFont="1" applyFill="1" applyBorder="1"/>
    <xf numFmtId="44" fontId="0" fillId="0" borderId="0" xfId="0" applyNumberFormat="1"/>
    <xf numFmtId="10" fontId="0" fillId="0" borderId="0" xfId="1" applyNumberFormat="1" applyFont="1" applyBorder="1"/>
    <xf numFmtId="10" fontId="0" fillId="0" borderId="5" xfId="1" applyNumberFormat="1" applyFont="1" applyBorder="1"/>
    <xf numFmtId="10" fontId="0" fillId="0" borderId="5" xfId="0" applyNumberFormat="1" applyBorder="1"/>
    <xf numFmtId="0" fontId="23" fillId="0" borderId="0" xfId="0" applyFont="1"/>
    <xf numFmtId="0" fontId="23" fillId="0" borderId="6" xfId="0" applyFont="1" applyBorder="1"/>
    <xf numFmtId="10" fontId="0" fillId="0" borderId="12" xfId="0" applyNumberFormat="1" applyBorder="1"/>
    <xf numFmtId="10" fontId="1" fillId="7" borderId="16" xfId="10" applyNumberFormat="1" applyBorder="1"/>
    <xf numFmtId="10" fontId="1" fillId="7" borderId="15" xfId="10" applyNumberFormat="1" applyBorder="1"/>
    <xf numFmtId="166" fontId="0" fillId="0" borderId="0" xfId="1" applyNumberFormat="1" applyFont="1"/>
    <xf numFmtId="9" fontId="5" fillId="2" borderId="17" xfId="2" applyNumberFormat="1" applyBorder="1" applyAlignment="1">
      <alignment horizontal="center"/>
    </xf>
    <xf numFmtId="10" fontId="5" fillId="2" borderId="18" xfId="2" applyNumberFormat="1" applyBorder="1" applyAlignment="1">
      <alignment horizontal="center"/>
    </xf>
    <xf numFmtId="0" fontId="0" fillId="0" borderId="12" xfId="0" applyBorder="1" applyAlignment="1">
      <alignment horizontal="center" vertical="center"/>
    </xf>
    <xf numFmtId="0" fontId="0" fillId="0" borderId="15" xfId="0" applyBorder="1" applyAlignment="1">
      <alignment horizontal="center" vertical="center"/>
    </xf>
    <xf numFmtId="2" fontId="5" fillId="2" borderId="9" xfId="2" applyNumberFormat="1" applyAlignment="1">
      <alignment horizontal="center" vertical="center"/>
    </xf>
    <xf numFmtId="0" fontId="2" fillId="0" borderId="2" xfId="0" applyFont="1" applyBorder="1"/>
    <xf numFmtId="2" fontId="0" fillId="8" borderId="5" xfId="0" applyNumberFormat="1" applyFill="1" applyBorder="1"/>
    <xf numFmtId="166" fontId="0" fillId="8" borderId="5" xfId="1" applyNumberFormat="1" applyFont="1" applyFill="1" applyBorder="1"/>
    <xf numFmtId="44" fontId="0" fillId="8" borderId="4" xfId="0" applyNumberFormat="1" applyFill="1" applyBorder="1"/>
    <xf numFmtId="44" fontId="0" fillId="8" borderId="5" xfId="0" applyNumberFormat="1" applyFill="1" applyBorder="1"/>
    <xf numFmtId="166" fontId="0" fillId="8" borderId="8" xfId="1" applyNumberFormat="1" applyFont="1" applyFill="1" applyBorder="1"/>
    <xf numFmtId="44" fontId="0" fillId="8" borderId="0" xfId="9" applyFont="1" applyFill="1"/>
    <xf numFmtId="44" fontId="5" fillId="2" borderId="9" xfId="9" applyFont="1" applyFill="1" applyBorder="1"/>
    <xf numFmtId="44" fontId="1" fillId="10" borderId="9" xfId="14" applyNumberFormat="1" applyBorder="1"/>
    <xf numFmtId="44" fontId="1" fillId="11" borderId="0" xfId="15" applyNumberFormat="1"/>
    <xf numFmtId="10" fontId="0" fillId="12" borderId="0" xfId="0" applyNumberFormat="1" applyFill="1"/>
    <xf numFmtId="10" fontId="0" fillId="13" borderId="10" xfId="0" applyNumberFormat="1" applyFill="1" applyBorder="1" applyAlignment="1">
      <alignment horizontal="center"/>
    </xf>
    <xf numFmtId="0" fontId="8" fillId="0" borderId="0" xfId="0" applyFont="1"/>
    <xf numFmtId="165" fontId="0" fillId="0" borderId="0" xfId="0" applyNumberFormat="1" applyAlignment="1">
      <alignment horizontal="center"/>
    </xf>
    <xf numFmtId="0" fontId="27" fillId="9" borderId="0" xfId="0" applyFont="1" applyFill="1"/>
    <xf numFmtId="0" fontId="27" fillId="9" borderId="0" xfId="2" applyFont="1" applyFill="1" applyBorder="1"/>
    <xf numFmtId="0" fontId="28" fillId="9" borderId="0" xfId="4" applyFont="1" applyFill="1" applyBorder="1"/>
    <xf numFmtId="0" fontId="13" fillId="14" borderId="10" xfId="0" applyFont="1" applyFill="1" applyBorder="1" applyAlignment="1">
      <alignment horizontal="center" wrapText="1"/>
    </xf>
    <xf numFmtId="10" fontId="8" fillId="0" borderId="8" xfId="19" applyNumberFormat="1" applyFont="1" applyBorder="1" applyAlignment="1">
      <alignment horizontal="center"/>
    </xf>
    <xf numFmtId="0" fontId="13" fillId="14" borderId="15" xfId="0" applyFont="1" applyFill="1" applyBorder="1" applyAlignment="1">
      <alignment horizontal="center" wrapText="1"/>
    </xf>
    <xf numFmtId="0" fontId="13" fillId="5" borderId="10" xfId="0" applyFont="1" applyFill="1" applyBorder="1" applyAlignment="1">
      <alignment horizontal="center" wrapText="1"/>
    </xf>
    <xf numFmtId="2" fontId="13" fillId="5" borderId="10" xfId="0" applyNumberFormat="1" applyFont="1" applyFill="1" applyBorder="1" applyAlignment="1">
      <alignment horizontal="center" wrapText="1"/>
    </xf>
    <xf numFmtId="0" fontId="27" fillId="0" borderId="0" xfId="0" applyFont="1"/>
    <xf numFmtId="10" fontId="13" fillId="5" borderId="10" xfId="0" applyNumberFormat="1" applyFont="1" applyFill="1" applyBorder="1" applyAlignment="1">
      <alignment horizontal="center" wrapText="1"/>
    </xf>
    <xf numFmtId="10" fontId="0" fillId="0" borderId="0" xfId="1" applyNumberFormat="1" applyFont="1" applyFill="1"/>
    <xf numFmtId="0" fontId="13" fillId="5" borderId="15" xfId="0" applyFont="1" applyFill="1" applyBorder="1" applyAlignment="1">
      <alignment horizontal="center" wrapText="1"/>
    </xf>
    <xf numFmtId="2" fontId="13" fillId="5" borderId="15" xfId="0" applyNumberFormat="1" applyFont="1" applyFill="1" applyBorder="1" applyAlignment="1">
      <alignment horizontal="center" wrapText="1"/>
    </xf>
    <xf numFmtId="10" fontId="13" fillId="5" borderId="15" xfId="0" applyNumberFormat="1" applyFont="1" applyFill="1" applyBorder="1" applyAlignment="1">
      <alignment horizontal="center" wrapText="1"/>
    </xf>
    <xf numFmtId="0" fontId="2" fillId="0" borderId="2" xfId="0" applyFont="1" applyBorder="1" applyAlignment="1">
      <alignment horizontal="center"/>
    </xf>
    <xf numFmtId="0" fontId="2" fillId="0" borderId="1" xfId="0" applyFont="1" applyBorder="1" applyAlignment="1">
      <alignment horizontal="center"/>
    </xf>
    <xf numFmtId="0" fontId="2" fillId="0" borderId="3" xfId="0" applyFont="1" applyBorder="1" applyAlignment="1">
      <alignment horizontal="center"/>
    </xf>
    <xf numFmtId="10" fontId="0" fillId="0" borderId="12" xfId="0" applyNumberFormat="1" applyBorder="1" applyAlignment="1">
      <alignment horizontal="center"/>
    </xf>
    <xf numFmtId="10" fontId="0" fillId="0" borderId="16" xfId="0" applyNumberFormat="1" applyBorder="1" applyAlignment="1">
      <alignment horizontal="center"/>
    </xf>
    <xf numFmtId="10" fontId="0" fillId="0" borderId="15" xfId="0" applyNumberFormat="1" applyBorder="1" applyAlignment="1">
      <alignment horizontal="center"/>
    </xf>
    <xf numFmtId="0" fontId="0" fillId="0" borderId="2" xfId="0" applyBorder="1" applyAlignment="1">
      <alignment horizontal="center"/>
    </xf>
    <xf numFmtId="0" fontId="0" fillId="0" borderId="1" xfId="0" applyBorder="1" applyAlignment="1">
      <alignment horizontal="center"/>
    </xf>
    <xf numFmtId="0" fontId="0" fillId="0" borderId="3" xfId="0" applyBorder="1" applyAlignment="1">
      <alignment horizontal="center"/>
    </xf>
    <xf numFmtId="10" fontId="0" fillId="0" borderId="6" xfId="0" applyNumberFormat="1" applyBorder="1" applyAlignment="1">
      <alignment horizontal="center"/>
    </xf>
    <xf numFmtId="10" fontId="0" fillId="0" borderId="7" xfId="0" applyNumberFormat="1" applyBorder="1" applyAlignment="1">
      <alignment horizontal="center"/>
    </xf>
    <xf numFmtId="10" fontId="0" fillId="0" borderId="8" xfId="0" applyNumberFormat="1" applyBorder="1" applyAlignment="1">
      <alignment horizontal="center"/>
    </xf>
    <xf numFmtId="0" fontId="24" fillId="12" borderId="0" xfId="11" applyFill="1" applyAlignment="1">
      <alignment horizontal="center"/>
    </xf>
    <xf numFmtId="0" fontId="0" fillId="14" borderId="0" xfId="0" applyFill="1" applyAlignment="1">
      <alignment horizontal="center"/>
    </xf>
    <xf numFmtId="0" fontId="5" fillId="2" borderId="19" xfId="2" applyBorder="1" applyAlignment="1">
      <alignment horizontal="center"/>
    </xf>
    <xf numFmtId="0" fontId="5" fillId="2" borderId="0" xfId="2" applyBorder="1" applyAlignment="1">
      <alignment horizontal="center"/>
    </xf>
    <xf numFmtId="0" fontId="18" fillId="3" borderId="19" xfId="5" applyBorder="1" applyAlignment="1">
      <alignment horizontal="center"/>
    </xf>
    <xf numFmtId="0" fontId="18" fillId="3" borderId="0" xfId="5" applyBorder="1" applyAlignment="1">
      <alignment horizontal="center"/>
    </xf>
    <xf numFmtId="0" fontId="0" fillId="0" borderId="0" xfId="0" applyAlignment="1">
      <alignment horizontal="center" vertical="center"/>
    </xf>
    <xf numFmtId="0" fontId="0" fillId="12" borderId="0" xfId="0" applyFill="1" applyAlignment="1">
      <alignment horizontal="center"/>
    </xf>
    <xf numFmtId="0" fontId="24" fillId="12" borderId="2" xfId="11" applyFill="1" applyBorder="1" applyAlignment="1">
      <alignment horizontal="center" vertical="center"/>
    </xf>
    <xf numFmtId="0" fontId="24" fillId="12" borderId="3" xfId="11" applyFill="1" applyBorder="1" applyAlignment="1">
      <alignment horizontal="center" vertical="center"/>
    </xf>
    <xf numFmtId="0" fontId="24" fillId="12" borderId="4" xfId="11" applyFill="1" applyBorder="1" applyAlignment="1">
      <alignment horizontal="center" vertical="center"/>
    </xf>
    <xf numFmtId="0" fontId="24" fillId="12" borderId="5" xfId="11" applyFill="1" applyBorder="1" applyAlignment="1">
      <alignment horizontal="center" vertical="center"/>
    </xf>
    <xf numFmtId="0" fontId="24" fillId="12" borderId="6" xfId="11" applyFill="1" applyBorder="1" applyAlignment="1">
      <alignment horizontal="center" vertical="center"/>
    </xf>
    <xf numFmtId="0" fontId="24" fillId="12" borderId="8" xfId="11" applyFill="1" applyBorder="1" applyAlignment="1">
      <alignment horizontal="center" vertical="center"/>
    </xf>
  </cellXfs>
  <cellStyles count="25">
    <cellStyle name="20% - Accent1" xfId="6" builtinId="30"/>
    <cellStyle name="20% - Accent2" xfId="14" builtinId="34"/>
    <cellStyle name="20% - Accent4" xfId="15" builtinId="42"/>
    <cellStyle name="60% - Accent3" xfId="10" builtinId="40"/>
    <cellStyle name="blp_column_header" xfId="21" xr:uid="{6038EC84-1F30-40DB-848A-61633B6424C1}"/>
    <cellStyle name="Calculation" xfId="5" builtinId="22"/>
    <cellStyle name="Currency" xfId="9" builtinId="4"/>
    <cellStyle name="Currency 2" xfId="18" xr:uid="{004D350A-197D-4BC1-9080-1FE8DBBFE72F}"/>
    <cellStyle name="Currency 3" xfId="24" xr:uid="{2476E2DD-D3E8-45E7-AB1B-D006019BEAFC}"/>
    <cellStyle name="Heading 1" xfId="3" builtinId="16"/>
    <cellStyle name="Hyperlink" xfId="11" builtinId="8"/>
    <cellStyle name="Hyperlink 2" xfId="16" xr:uid="{EB73328A-58A7-4241-ACF6-FA568C4AC104}"/>
    <cellStyle name="Hyperlink 3" xfId="22" xr:uid="{38AD771F-CA7F-4CF7-8231-768328932EFE}"/>
    <cellStyle name="Input" xfId="2" builtinId="20"/>
    <cellStyle name="Normal" xfId="0" builtinId="0"/>
    <cellStyle name="Normal 2" xfId="7" xr:uid="{00000000-0005-0000-0000-000030000000}"/>
    <cellStyle name="Normal 3" xfId="12" xr:uid="{8D0FDA59-13FF-469A-84C8-F8810FFC21CC}"/>
    <cellStyle name="Normal 4" xfId="17" xr:uid="{B1B828BB-D9FF-42D7-8387-72738909DF67}"/>
    <cellStyle name="Normal 5" xfId="20" xr:uid="{1ABB3550-2867-4FD6-9AAD-AD2C5A67D143}"/>
    <cellStyle name="Output" xfId="4" builtinId="21"/>
    <cellStyle name="Percent" xfId="1" builtinId="5"/>
    <cellStyle name="Percent 2" xfId="8" xr:uid="{00000000-0005-0000-0000-000031000000}"/>
    <cellStyle name="Percent 3" xfId="13" xr:uid="{FF3830E6-D376-4EE6-BB1F-493DD9CBC92F}"/>
    <cellStyle name="Percent 4" xfId="19" xr:uid="{B57CB6C2-D40D-4267-A281-11F9075B7A0E}"/>
    <cellStyle name="Percent 5" xfId="23" xr:uid="{D0740A5C-AED2-42FE-A51F-66BA3A3EB416}"/>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5" Type="http://schemas.openxmlformats.org/officeDocument/2006/relationships/image" Target="../media/image6.png"/><Relationship Id="rId4"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1</xdr:col>
      <xdr:colOff>9525</xdr:colOff>
      <xdr:row>44</xdr:row>
      <xdr:rowOff>47625</xdr:rowOff>
    </xdr:from>
    <xdr:to>
      <xdr:col>8</xdr:col>
      <xdr:colOff>370676</xdr:colOff>
      <xdr:row>59</xdr:row>
      <xdr:rowOff>190125</xdr:rowOff>
    </xdr:to>
    <xdr:pic>
      <xdr:nvPicPr>
        <xdr:cNvPr id="2" name="Picture 1">
          <a:extLst>
            <a:ext uri="{FF2B5EF4-FFF2-40B4-BE49-F238E27FC236}">
              <a16:creationId xmlns:a16="http://schemas.microsoft.com/office/drawing/2014/main" id="{EE0095AC-EA12-4CAB-908E-5AC4D242B64A}"/>
            </a:ext>
          </a:extLst>
        </xdr:cNvPr>
        <xdr:cNvPicPr>
          <a:picLocks noChangeAspect="1"/>
        </xdr:cNvPicPr>
      </xdr:nvPicPr>
      <xdr:blipFill>
        <a:blip xmlns:r="http://schemas.openxmlformats.org/officeDocument/2006/relationships" r:embed="rId1"/>
        <a:stretch>
          <a:fillRect/>
        </a:stretch>
      </xdr:blipFill>
      <xdr:spPr>
        <a:xfrm>
          <a:off x="2047875" y="8505825"/>
          <a:ext cx="6390476" cy="3000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485775</xdr:colOff>
      <xdr:row>0</xdr:row>
      <xdr:rowOff>47625</xdr:rowOff>
    </xdr:from>
    <xdr:to>
      <xdr:col>12</xdr:col>
      <xdr:colOff>526359</xdr:colOff>
      <xdr:row>23</xdr:row>
      <xdr:rowOff>85725</xdr:rowOff>
    </xdr:to>
    <xdr:pic>
      <xdr:nvPicPr>
        <xdr:cNvPr id="2" name="Picture 1">
          <a:extLst>
            <a:ext uri="{FF2B5EF4-FFF2-40B4-BE49-F238E27FC236}">
              <a16:creationId xmlns:a16="http://schemas.microsoft.com/office/drawing/2014/main" id="{E05E6074-D7F9-47C7-8C2F-C7F0729923B9}"/>
            </a:ext>
          </a:extLst>
        </xdr:cNvPr>
        <xdr:cNvPicPr>
          <a:picLocks noChangeAspect="1"/>
        </xdr:cNvPicPr>
      </xdr:nvPicPr>
      <xdr:blipFill>
        <a:blip xmlns:r="http://schemas.openxmlformats.org/officeDocument/2006/relationships" r:embed="rId1"/>
        <a:stretch>
          <a:fillRect/>
        </a:stretch>
      </xdr:blipFill>
      <xdr:spPr>
        <a:xfrm>
          <a:off x="485775" y="47625"/>
          <a:ext cx="7746309" cy="4419600"/>
        </a:xfrm>
        <a:prstGeom prst="rect">
          <a:avLst/>
        </a:prstGeom>
      </xdr:spPr>
    </xdr:pic>
    <xdr:clientData/>
  </xdr:twoCellAnchor>
  <xdr:twoCellAnchor>
    <xdr:from>
      <xdr:col>14</xdr:col>
      <xdr:colOff>38100</xdr:colOff>
      <xdr:row>20</xdr:row>
      <xdr:rowOff>9525</xdr:rowOff>
    </xdr:from>
    <xdr:to>
      <xdr:col>22</xdr:col>
      <xdr:colOff>933450</xdr:colOff>
      <xdr:row>35</xdr:row>
      <xdr:rowOff>85725</xdr:rowOff>
    </xdr:to>
    <xdr:sp macro="" textlink="">
      <xdr:nvSpPr>
        <xdr:cNvPr id="3" name="TextBox 2">
          <a:extLst>
            <a:ext uri="{FF2B5EF4-FFF2-40B4-BE49-F238E27FC236}">
              <a16:creationId xmlns:a16="http://schemas.microsoft.com/office/drawing/2014/main" id="{C3DFA33B-3B3E-4E34-A32C-FA390355587F}"/>
            </a:ext>
          </a:extLst>
        </xdr:cNvPr>
        <xdr:cNvSpPr txBox="1"/>
      </xdr:nvSpPr>
      <xdr:spPr>
        <a:xfrm>
          <a:off x="8667750" y="3819525"/>
          <a:ext cx="5781675" cy="29337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Notes:</a:t>
          </a:r>
        </a:p>
        <a:p>
          <a:endParaRPr lang="en-US" sz="1100"/>
        </a:p>
        <a:p>
          <a:endParaRPr lang="en-US" sz="1100" baseline="0"/>
        </a:p>
      </xdr:txBody>
    </xdr:sp>
    <xdr:clientData/>
  </xdr:twoCellAnchor>
  <xdr:twoCellAnchor editAs="oneCell">
    <xdr:from>
      <xdr:col>12</xdr:col>
      <xdr:colOff>581026</xdr:colOff>
      <xdr:row>38</xdr:row>
      <xdr:rowOff>114301</xdr:rowOff>
    </xdr:from>
    <xdr:to>
      <xdr:col>23</xdr:col>
      <xdr:colOff>400117</xdr:colOff>
      <xdr:row>62</xdr:row>
      <xdr:rowOff>171451</xdr:rowOff>
    </xdr:to>
    <xdr:pic>
      <xdr:nvPicPr>
        <xdr:cNvPr id="4" name="Picture 3">
          <a:extLst>
            <a:ext uri="{FF2B5EF4-FFF2-40B4-BE49-F238E27FC236}">
              <a16:creationId xmlns:a16="http://schemas.microsoft.com/office/drawing/2014/main" id="{59D14E66-420A-4C8E-A19B-92E3E75D261E}"/>
            </a:ext>
          </a:extLst>
        </xdr:cNvPr>
        <xdr:cNvPicPr>
          <a:picLocks noChangeAspect="1"/>
        </xdr:cNvPicPr>
      </xdr:nvPicPr>
      <xdr:blipFill>
        <a:blip xmlns:r="http://schemas.openxmlformats.org/officeDocument/2006/relationships" r:embed="rId2"/>
        <a:stretch>
          <a:fillRect/>
        </a:stretch>
      </xdr:blipFill>
      <xdr:spPr>
        <a:xfrm>
          <a:off x="8210551" y="7353301"/>
          <a:ext cx="7048566" cy="4629150"/>
        </a:xfrm>
        <a:prstGeom prst="rect">
          <a:avLst/>
        </a:prstGeom>
      </xdr:spPr>
    </xdr:pic>
    <xdr:clientData/>
  </xdr:twoCellAnchor>
  <xdr:twoCellAnchor editAs="oneCell">
    <xdr:from>
      <xdr:col>0</xdr:col>
      <xdr:colOff>247650</xdr:colOff>
      <xdr:row>67</xdr:row>
      <xdr:rowOff>123826</xdr:rowOff>
    </xdr:from>
    <xdr:to>
      <xdr:col>9</xdr:col>
      <xdr:colOff>298841</xdr:colOff>
      <xdr:row>88</xdr:row>
      <xdr:rowOff>47626</xdr:rowOff>
    </xdr:to>
    <xdr:pic>
      <xdr:nvPicPr>
        <xdr:cNvPr id="5" name="Picture 4">
          <a:extLst>
            <a:ext uri="{FF2B5EF4-FFF2-40B4-BE49-F238E27FC236}">
              <a16:creationId xmlns:a16="http://schemas.microsoft.com/office/drawing/2014/main" id="{1D0DE4BF-5D60-4351-BB24-D9C1043E4305}"/>
            </a:ext>
          </a:extLst>
        </xdr:cNvPr>
        <xdr:cNvPicPr>
          <a:picLocks noChangeAspect="1"/>
        </xdr:cNvPicPr>
      </xdr:nvPicPr>
      <xdr:blipFill>
        <a:blip xmlns:r="http://schemas.openxmlformats.org/officeDocument/2006/relationships" r:embed="rId3"/>
        <a:stretch>
          <a:fillRect/>
        </a:stretch>
      </xdr:blipFill>
      <xdr:spPr>
        <a:xfrm>
          <a:off x="247650" y="12887326"/>
          <a:ext cx="5785241" cy="3924300"/>
        </a:xfrm>
        <a:prstGeom prst="rect">
          <a:avLst/>
        </a:prstGeom>
      </xdr:spPr>
    </xdr:pic>
    <xdr:clientData/>
  </xdr:twoCellAnchor>
  <xdr:twoCellAnchor>
    <xdr:from>
      <xdr:col>13</xdr:col>
      <xdr:colOff>152400</xdr:colOff>
      <xdr:row>66</xdr:row>
      <xdr:rowOff>180973</xdr:rowOff>
    </xdr:from>
    <xdr:to>
      <xdr:col>22</xdr:col>
      <xdr:colOff>923925</xdr:colOff>
      <xdr:row>108</xdr:row>
      <xdr:rowOff>142875</xdr:rowOff>
    </xdr:to>
    <xdr:sp macro="" textlink="">
      <xdr:nvSpPr>
        <xdr:cNvPr id="6" name="TextBox 5">
          <a:extLst>
            <a:ext uri="{FF2B5EF4-FFF2-40B4-BE49-F238E27FC236}">
              <a16:creationId xmlns:a16="http://schemas.microsoft.com/office/drawing/2014/main" id="{9F0877A8-DAEA-42D4-8943-912F66F6AB40}"/>
            </a:ext>
          </a:extLst>
        </xdr:cNvPr>
        <xdr:cNvSpPr txBox="1"/>
      </xdr:nvSpPr>
      <xdr:spPr>
        <a:xfrm>
          <a:off x="8391525" y="12753973"/>
          <a:ext cx="6267450" cy="796290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i="0">
              <a:solidFill>
                <a:schemeClr val="dk1"/>
              </a:solidFill>
              <a:effectLst/>
              <a:latin typeface="+mn-lt"/>
              <a:ea typeface="+mn-ea"/>
              <a:cs typeface="+mn-cs"/>
            </a:rPr>
            <a:t>ROIC</a:t>
          </a:r>
        </a:p>
        <a:p>
          <a:r>
            <a:rPr lang="en-US" sz="1100" b="0" i="0">
              <a:solidFill>
                <a:schemeClr val="dk1"/>
              </a:solidFill>
              <a:effectLst/>
              <a:latin typeface="+mn-lt"/>
              <a:ea typeface="+mn-ea"/>
              <a:cs typeface="+mn-cs"/>
            </a:rPr>
            <a:t>As a simple illustration, a company with an average 10% ROIC needs to invest 50% of their earnings to grow 5% (10%*50%=5%). </a:t>
          </a:r>
        </a:p>
        <a:p>
          <a:r>
            <a:rPr lang="en-US" sz="1100" b="0" i="0">
              <a:solidFill>
                <a:schemeClr val="dk1"/>
              </a:solidFill>
              <a:effectLst/>
              <a:latin typeface="+mn-lt"/>
              <a:ea typeface="+mn-ea"/>
              <a:cs typeface="+mn-cs"/>
            </a:rPr>
            <a:t>A company with a 50% ROIC only needs to reinvest 10% of earnings to grow 5% (50%*10%=5%). </a:t>
          </a:r>
        </a:p>
        <a:p>
          <a:endParaRPr lang="en-US" sz="1100" b="0" i="0">
            <a:solidFill>
              <a:schemeClr val="dk1"/>
            </a:solidFill>
            <a:effectLst/>
            <a:latin typeface="+mn-lt"/>
            <a:ea typeface="+mn-ea"/>
            <a:cs typeface="+mn-cs"/>
          </a:endParaRPr>
        </a:p>
        <a:p>
          <a:r>
            <a:rPr lang="en-US" sz="1100" b="0" i="0">
              <a:solidFill>
                <a:schemeClr val="dk1"/>
              </a:solidFill>
              <a:effectLst/>
              <a:latin typeface="+mn-lt"/>
              <a:ea typeface="+mn-ea"/>
              <a:cs typeface="+mn-cs"/>
            </a:rPr>
            <a:t>In the former case, $0.50 of every dollar of earnings is not needed to fund growth, while in the latter case $0.90 is not needed to fund growth. </a:t>
          </a:r>
        </a:p>
        <a:p>
          <a:endParaRPr lang="en-US" sz="1100" b="0" i="0">
            <a:solidFill>
              <a:schemeClr val="dk1"/>
            </a:solidFill>
            <a:effectLst/>
            <a:latin typeface="+mn-lt"/>
            <a:ea typeface="+mn-ea"/>
            <a:cs typeface="+mn-cs"/>
          </a:endParaRPr>
        </a:p>
        <a:p>
          <a:r>
            <a:rPr lang="en-US" sz="1100" b="0" i="0">
              <a:solidFill>
                <a:schemeClr val="dk1"/>
              </a:solidFill>
              <a:effectLst/>
              <a:latin typeface="+mn-lt"/>
              <a:ea typeface="+mn-ea"/>
              <a:cs typeface="+mn-cs"/>
            </a:rPr>
            <a:t>This means that the higher ROIC company will generate 80% more free cash flow than the average ROIC company making the company 80% more valuable. </a:t>
          </a:r>
        </a:p>
        <a:p>
          <a:r>
            <a:rPr lang="en-US" sz="1100" b="0" i="0">
              <a:solidFill>
                <a:schemeClr val="dk1"/>
              </a:solidFill>
              <a:effectLst/>
              <a:latin typeface="+mn-lt"/>
              <a:ea typeface="+mn-ea"/>
              <a:cs typeface="+mn-cs"/>
            </a:rPr>
            <a:t>This is why we focus on ROIC in our analysis. </a:t>
          </a:r>
        </a:p>
        <a:p>
          <a:endParaRPr lang="en-US" sz="1100" b="0" i="0">
            <a:solidFill>
              <a:schemeClr val="dk1"/>
            </a:solidFill>
            <a:effectLst/>
            <a:latin typeface="+mn-lt"/>
            <a:ea typeface="+mn-ea"/>
            <a:cs typeface="+mn-cs"/>
          </a:endParaRPr>
        </a:p>
        <a:p>
          <a:r>
            <a:rPr lang="en-US" sz="1100" b="0" i="0">
              <a:solidFill>
                <a:schemeClr val="dk1"/>
              </a:solidFill>
              <a:effectLst/>
              <a:latin typeface="+mn-lt"/>
              <a:ea typeface="+mn-ea"/>
              <a:cs typeface="+mn-cs"/>
            </a:rPr>
            <a:t>High ROIC businesses are significantly more valuable than average ROIC companies even when they produce the same level of growth.</a:t>
          </a:r>
        </a:p>
        <a:p>
          <a:endParaRPr lang="en-US" sz="1100" b="0" i="0">
            <a:solidFill>
              <a:schemeClr val="dk1"/>
            </a:solidFill>
            <a:effectLst/>
            <a:latin typeface="+mn-lt"/>
            <a:ea typeface="+mn-ea"/>
            <a:cs typeface="+mn-cs"/>
          </a:endParaRPr>
        </a:p>
        <a:p>
          <a:r>
            <a:rPr lang="en-US" sz="1100"/>
            <a:t>This isn’t just an academic exercise. The higher ROIC=higher value theory is apparent in market prices. </a:t>
          </a:r>
        </a:p>
        <a:p>
          <a:endParaRPr lang="en-US" sz="1100"/>
        </a:p>
        <a:p>
          <a:r>
            <a:rPr lang="en-US" sz="1100"/>
            <a:t>For instance, the payroll processing company Paychex has been awarded a high valuation by the market over time even while generating modest growth. But Paychex generates near 100% returns on invested capital. </a:t>
          </a:r>
        </a:p>
        <a:p>
          <a:endParaRPr lang="en-US" sz="1100"/>
        </a:p>
        <a:p>
          <a:r>
            <a:rPr lang="en-US" sz="1100"/>
            <a:t>Using the math in the example above, we can see that the stock should trade at a PE multiple of about 90% above the average stock. 100%*5%=5%, so 95% of earnings are available to distribute to shareholders. 95%/50%=90% premium. (1.9X)</a:t>
          </a:r>
        </a:p>
        <a:p>
          <a:endParaRPr lang="en-US" sz="1100"/>
        </a:p>
        <a:p>
          <a:r>
            <a:rPr lang="en-US" sz="1100"/>
            <a:t>ROIC isn’t a secret formula. But its value is deeply under appreciated by most investors. That’s why so many Wall Street analysts have regularly under estimated the value of the business. In many Street reports on Paychex, the analyst acknowledges the quality of the business, but points to the modest growth rate to argue that since it is pretty similar to the growth rate of the overall market, Paychex should also have a market like PE ratio. </a:t>
          </a:r>
        </a:p>
        <a:p>
          <a:endParaRPr lang="en-US" sz="1100"/>
        </a:p>
        <a:p>
          <a:r>
            <a:rPr lang="en-US" sz="1100"/>
            <a:t>But as we just showed, a company with the ROIC profile of Paychex should trade at a much higher PE ratio than the average company even if their growth rate is similar to the average company. And we’ve shown this is actually how the market prices stocks even if many investors underappreciated the value of ROIC.</a:t>
          </a:r>
        </a:p>
        <a:p>
          <a:endParaRPr lang="en-US" sz="1100"/>
        </a:p>
        <a:p>
          <a:r>
            <a:rPr lang="en-US" sz="1100" b="0" i="0">
              <a:solidFill>
                <a:schemeClr val="dk1"/>
              </a:solidFill>
              <a:effectLst/>
              <a:latin typeface="+mn-lt"/>
              <a:ea typeface="+mn-ea"/>
              <a:cs typeface="+mn-cs"/>
            </a:rPr>
            <a:t>However, ROIC is only valuable if there is growth available and so it is productive to reinvest your earnings. </a:t>
          </a:r>
        </a:p>
        <a:p>
          <a:endParaRPr lang="en-US" sz="1100" b="0" i="0">
            <a:solidFill>
              <a:schemeClr val="dk1"/>
            </a:solidFill>
            <a:effectLst/>
            <a:latin typeface="+mn-lt"/>
            <a:ea typeface="+mn-ea"/>
            <a:cs typeface="+mn-cs"/>
          </a:endParaRPr>
        </a:p>
        <a:p>
          <a:r>
            <a:rPr lang="en-US" sz="1100" b="0" i="0">
              <a:solidFill>
                <a:schemeClr val="dk1"/>
              </a:solidFill>
              <a:effectLst/>
              <a:latin typeface="+mn-lt"/>
              <a:ea typeface="+mn-ea"/>
              <a:cs typeface="+mn-cs"/>
            </a:rPr>
            <a:t>If we use the exact same example as above, but you assume 1% growth you get a company with an average 10% ROIC needs to invest 10% of their earnings to grow 1% (10%*10%=1%). </a:t>
          </a:r>
        </a:p>
        <a:p>
          <a:endParaRPr lang="en-US" sz="1100" b="0" i="0">
            <a:solidFill>
              <a:schemeClr val="dk1"/>
            </a:solidFill>
            <a:effectLst/>
            <a:latin typeface="+mn-lt"/>
            <a:ea typeface="+mn-ea"/>
            <a:cs typeface="+mn-cs"/>
          </a:endParaRPr>
        </a:p>
        <a:p>
          <a:r>
            <a:rPr lang="en-US" sz="1100" b="0" i="0">
              <a:solidFill>
                <a:schemeClr val="dk1"/>
              </a:solidFill>
              <a:effectLst/>
              <a:latin typeface="+mn-lt"/>
              <a:ea typeface="+mn-ea"/>
              <a:cs typeface="+mn-cs"/>
            </a:rPr>
            <a:t>A company with a 50% ROIC only needs to reinvest 2% of earnings to growth 1% (50%*2%=1%). </a:t>
          </a:r>
        </a:p>
        <a:p>
          <a:endParaRPr lang="en-US" sz="1100" b="0" i="0">
            <a:solidFill>
              <a:schemeClr val="dk1"/>
            </a:solidFill>
            <a:effectLst/>
            <a:latin typeface="+mn-lt"/>
            <a:ea typeface="+mn-ea"/>
            <a:cs typeface="+mn-cs"/>
          </a:endParaRPr>
        </a:p>
        <a:p>
          <a:r>
            <a:rPr lang="en-US" sz="1100" b="0" i="0">
              <a:solidFill>
                <a:schemeClr val="dk1"/>
              </a:solidFill>
              <a:effectLst/>
              <a:latin typeface="+mn-lt"/>
              <a:ea typeface="+mn-ea"/>
              <a:cs typeface="+mn-cs"/>
            </a:rPr>
            <a:t>In the former case, $0.90 of every dollar is not needed to fund growth, while in the latter case $0.98 is not needed to fund growth. This means that the higher ROIC company will generate 9% more free cash flow than the average ROIC company making the company 9% more valuable.</a:t>
          </a:r>
          <a:endParaRPr lang="en-US" sz="1100"/>
        </a:p>
      </xdr:txBody>
    </xdr:sp>
    <xdr:clientData/>
  </xdr:twoCellAnchor>
  <xdr:twoCellAnchor editAs="oneCell">
    <xdr:from>
      <xdr:col>2</xdr:col>
      <xdr:colOff>66675</xdr:colOff>
      <xdr:row>100</xdr:row>
      <xdr:rowOff>38100</xdr:rowOff>
    </xdr:from>
    <xdr:to>
      <xdr:col>6</xdr:col>
      <xdr:colOff>476250</xdr:colOff>
      <xdr:row>106</xdr:row>
      <xdr:rowOff>65834</xdr:rowOff>
    </xdr:to>
    <xdr:pic>
      <xdr:nvPicPr>
        <xdr:cNvPr id="7" name="Picture 6">
          <a:extLst>
            <a:ext uri="{FF2B5EF4-FFF2-40B4-BE49-F238E27FC236}">
              <a16:creationId xmlns:a16="http://schemas.microsoft.com/office/drawing/2014/main" id="{144CA168-599F-4D68-BD84-20801E18F116}"/>
            </a:ext>
          </a:extLst>
        </xdr:cNvPr>
        <xdr:cNvPicPr>
          <a:picLocks noChangeAspect="1"/>
        </xdr:cNvPicPr>
      </xdr:nvPicPr>
      <xdr:blipFill>
        <a:blip xmlns:r="http://schemas.openxmlformats.org/officeDocument/2006/relationships" r:embed="rId4"/>
        <a:stretch>
          <a:fillRect/>
        </a:stretch>
      </xdr:blipFill>
      <xdr:spPr>
        <a:xfrm>
          <a:off x="1285875" y="19088100"/>
          <a:ext cx="3000375" cy="1170734"/>
        </a:xfrm>
        <a:prstGeom prst="rect">
          <a:avLst/>
        </a:prstGeom>
      </xdr:spPr>
    </xdr:pic>
    <xdr:clientData/>
  </xdr:twoCellAnchor>
  <xdr:twoCellAnchor editAs="oneCell">
    <xdr:from>
      <xdr:col>2</xdr:col>
      <xdr:colOff>114300</xdr:colOff>
      <xdr:row>107</xdr:row>
      <xdr:rowOff>9525</xdr:rowOff>
    </xdr:from>
    <xdr:to>
      <xdr:col>9</xdr:col>
      <xdr:colOff>447675</xdr:colOff>
      <xdr:row>115</xdr:row>
      <xdr:rowOff>51875</xdr:rowOff>
    </xdr:to>
    <xdr:pic>
      <xdr:nvPicPr>
        <xdr:cNvPr id="8" name="Picture 7">
          <a:extLst>
            <a:ext uri="{FF2B5EF4-FFF2-40B4-BE49-F238E27FC236}">
              <a16:creationId xmlns:a16="http://schemas.microsoft.com/office/drawing/2014/main" id="{2156D8A9-E761-4240-AAF7-7E88FF7342FA}"/>
            </a:ext>
          </a:extLst>
        </xdr:cNvPr>
        <xdr:cNvPicPr>
          <a:picLocks noChangeAspect="1"/>
        </xdr:cNvPicPr>
      </xdr:nvPicPr>
      <xdr:blipFill>
        <a:blip xmlns:r="http://schemas.openxmlformats.org/officeDocument/2006/relationships" r:embed="rId5"/>
        <a:stretch>
          <a:fillRect/>
        </a:stretch>
      </xdr:blipFill>
      <xdr:spPr>
        <a:xfrm>
          <a:off x="1333500" y="20393025"/>
          <a:ext cx="4848225" cy="1566350"/>
        </a:xfrm>
        <a:prstGeom prst="rect">
          <a:avLst/>
        </a:prstGeom>
      </xdr:spPr>
    </xdr:pic>
    <xdr:clientData/>
  </xdr:twoCellAnchor>
  <xdr:twoCellAnchor>
    <xdr:from>
      <xdr:col>2</xdr:col>
      <xdr:colOff>28574</xdr:colOff>
      <xdr:row>116</xdr:row>
      <xdr:rowOff>0</xdr:rowOff>
    </xdr:from>
    <xdr:to>
      <xdr:col>18</xdr:col>
      <xdr:colOff>457200</xdr:colOff>
      <xdr:row>153</xdr:row>
      <xdr:rowOff>95250</xdr:rowOff>
    </xdr:to>
    <xdr:sp macro="" textlink="">
      <xdr:nvSpPr>
        <xdr:cNvPr id="9" name="TextBox 8">
          <a:extLst>
            <a:ext uri="{FF2B5EF4-FFF2-40B4-BE49-F238E27FC236}">
              <a16:creationId xmlns:a16="http://schemas.microsoft.com/office/drawing/2014/main" id="{80C74027-8FD6-42DD-819E-4223CD2EDDE4}"/>
            </a:ext>
          </a:extLst>
        </xdr:cNvPr>
        <xdr:cNvSpPr txBox="1"/>
      </xdr:nvSpPr>
      <xdr:spPr>
        <a:xfrm>
          <a:off x="1247774" y="22098000"/>
          <a:ext cx="10496551" cy="71437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1. We note that your Non-GAAP measures for Adjusted Operating income (Non-GAAP), Adjusted Operating income margin (Non-GAAP), Adjusted Net earnings (Non-GAAP) and Adjusted earnings per share (Non-GAAP) include an adjustment to eliminate the portion of your amortization expense related to acquired intangibles and purchased intellectual property. Please tell us in detail why you present this adjustment in your Non-GAAP measures and how you considered the guidance in Question 100.04 of April 4, 2018 Compliance and Disclosure Interpretations on Non-GAAP Financial Measures available on our website at https://www.sec.gov/divisions/corpfin/guidance/nongaapinginterp.htm. Adjusting for a portion of your GAAP amortization and depreciation expense appears to create an individually tailored recognition and measurement method for amortization of the related acquired intangible assets and intellectual property. We may have further comment after reviewing your response.</a:t>
          </a:r>
        </a:p>
        <a:p>
          <a:br>
            <a:rPr lang="en-US" sz="1100"/>
          </a:br>
          <a:endParaRPr lang="en-US" sz="1100"/>
        </a:p>
        <a:p>
          <a:r>
            <a:rPr lang="en-US" sz="1100" b="1"/>
            <a:t>The Company believes </a:t>
          </a:r>
          <a:r>
            <a:rPr lang="en-US" sz="1100"/>
            <a:t>its treatment of the amortization of acquired intangibles and purchased intellectual property adjustment is not an individually tailored expense recognition or measurement method precluded by the guidance of Question 100.04 of the Compliance and Disclosure Interpretations on Non-GAAP Financial Measures (“CDI 100.04”) for the following reasons:</a:t>
          </a:r>
        </a:p>
        <a:p>
          <a:br>
            <a:rPr lang="en-US" sz="1100"/>
          </a:br>
          <a:endParaRPr lang="en-US" sz="1100"/>
        </a:p>
        <a:p>
          <a:r>
            <a:rPr lang="en-US" sz="1100"/>
            <a:t>a)</a:t>
          </a:r>
        </a:p>
        <a:p>
          <a:r>
            <a:rPr lang="en-US" sz="1100"/>
            <a:t>Amortization of acquired intangibles and purchased intellectual property is a GAAP amount and the adjustment to produce the referenced Non-GAAP measures merely sums two separately disclosed GAAP amounts (net income and amortization of acquired intangibles and purchased intellectual property). The referenced Non-GAAP measures derive entirely from two GAAP amounts and not from a fundamentally different basis of accounting or an individually tailored method of accounting.</a:t>
          </a:r>
        </a:p>
        <a:p>
          <a:br>
            <a:rPr lang="en-US" sz="1100"/>
          </a:br>
          <a:endParaRPr lang="en-US" sz="1100"/>
        </a:p>
        <a:p>
          <a:r>
            <a:rPr lang="en-US" sz="1100"/>
            <a:t>b)</a:t>
          </a:r>
        </a:p>
        <a:p>
          <a:r>
            <a:rPr lang="en-US" sz="1100"/>
            <a:t>The Company’s approach does not result in the acceleration of revenue or the delayed recognition of costs.</a:t>
          </a:r>
        </a:p>
        <a:p>
          <a:br>
            <a:rPr lang="en-US" sz="1100"/>
          </a:br>
          <a:endParaRPr lang="en-US" sz="1100"/>
        </a:p>
        <a:p>
          <a:r>
            <a:rPr lang="en-US" sz="1100"/>
            <a:t>c)</a:t>
          </a:r>
        </a:p>
        <a:p>
          <a:r>
            <a:rPr lang="en-US" sz="1100"/>
            <a:t>The adjustment to exclude amortization of acquired intangibles and purchased intellectual property has been consistently applied by the Company to all of its acquisitions.</a:t>
          </a:r>
        </a:p>
        <a:p>
          <a:br>
            <a:rPr lang="en-US" sz="1100"/>
          </a:br>
          <a:endParaRPr lang="en-US" sz="1100"/>
        </a:p>
        <a:p>
          <a:r>
            <a:rPr lang="en-US" sz="1100"/>
            <a:t>The Company believes it is useful to differentiate acquired intangible assets and purchased intellectual property from other assets. Acquired intangible assets by their nature are different from other intangibles (such as purchased software licenses) or property and equipment, that are replaced on a regular basis as the assets expire. The costs to operate, maintain and extend the life of acquired intangible assets and purchased intellectual property are reflected in the Company’s operating “run-rate” costs as labor, facilities, overhead, etc. Consequently, the Company’s management uses the referenced Non-GAAP measures as a means of (i) evaluating ongoing operations including for internal planning and forecasting purposes, (ii) compensating management, (iii) predicting future cash flows and assessing the underlying value of our operations, and (iv) comparing operating performance across businesses that were created with different mixes of acquisitions to allow for a more consistent measure of performance on a period-over-period basis.</a:t>
          </a:r>
        </a:p>
        <a:p>
          <a:br>
            <a:rPr lang="en-US" sz="1100"/>
          </a:br>
          <a:r>
            <a:rPr lang="en-US" sz="1100"/>
            <a:t>The Company’s management believes that the referenced Non-GAAP measures are also useful to investors and investment analysts by providing them with important transparency into our ongoing operating results, thereby enabling them to better compare our operating performance with the operating performance of our peer companies. The Company regularly tracks 12 public company peers for performance evaluation and analysis purposes and notes that 10 of those 12 peer companies make similar adjustments for acquired intangible asset amortization in the calculation of Non-GAAP measures. The Company notes that the adjustment of acquired intangible asset amortization seems to be commonly used as the impact of such amortization can vary significantly from company to company depending upon the nature and extent of acquisition activity.</a:t>
          </a:r>
        </a:p>
      </xdr:txBody>
    </xdr:sp>
    <xdr:clientData/>
  </xdr:twoCellAnchor>
  <xdr:twoCellAnchor>
    <xdr:from>
      <xdr:col>1</xdr:col>
      <xdr:colOff>466725</xdr:colOff>
      <xdr:row>155</xdr:row>
      <xdr:rowOff>133350</xdr:rowOff>
    </xdr:from>
    <xdr:to>
      <xdr:col>17</xdr:col>
      <xdr:colOff>247650</xdr:colOff>
      <xdr:row>187</xdr:row>
      <xdr:rowOff>142875</xdr:rowOff>
    </xdr:to>
    <xdr:sp macro="" textlink="">
      <xdr:nvSpPr>
        <xdr:cNvPr id="10" name="TextBox 9">
          <a:extLst>
            <a:ext uri="{FF2B5EF4-FFF2-40B4-BE49-F238E27FC236}">
              <a16:creationId xmlns:a16="http://schemas.microsoft.com/office/drawing/2014/main" id="{BEFEE889-C527-4597-8EB4-6B8F33082CD5}"/>
            </a:ext>
          </a:extLst>
        </xdr:cNvPr>
        <xdr:cNvSpPr txBox="1"/>
      </xdr:nvSpPr>
      <xdr:spPr>
        <a:xfrm>
          <a:off x="1076325" y="29660850"/>
          <a:ext cx="9848850" cy="61055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Acquisitions are an important component of the Company's growth and investment strategy, and one of management's key goals is to make smart, high return investments with good financial discipline. In support of this strategy, the board of directors does not want management overly focused on the dilutive effect of the non-cash amortization associated with acquired intangible assets because of the belief that non-cash amortization associated with intangible assets does not reflect the Company's ordinary operations. It is the Company's view that acquired intangible assets by their nature are fundamentally different from other depreciating assets that are replaced on a predictable cycle. Unlike other depreciating assets, such as purchased software licenses or property and equipment, there is no replacement cost once acquired intangible assets expire as the assets are not replaced. Additionally, the costs to operate, maintain and extend the life of acquired intangible assets and purchased intellectual property are reflected in the Company's operating "run-rate" costs as labor, facilities, overhead, etc. For this reason, the Company has developed, publicly discloses and internally uses the referenced Non-GAAP measures that exclude the impact of non-cash amortization associated with acquired intangible assets and further evidences the usefulness of the referenced Non-GAAP measures through the following means:</a:t>
          </a:r>
        </a:p>
        <a:p>
          <a:endParaRPr lang="en-US" sz="1100"/>
        </a:p>
        <a:p>
          <a:r>
            <a:rPr lang="en-US" sz="1100"/>
            <a:t>a)</a:t>
          </a:r>
        </a:p>
        <a:p>
          <a:r>
            <a:rPr lang="en-US" sz="1100"/>
            <a:t>Dividends</a:t>
          </a:r>
        </a:p>
        <a:p>
          <a:r>
            <a:rPr lang="en-US" sz="1100"/>
            <a:t>By design, the policy does not consider the impact of amortization of acquired intangibles and purchased intellectual property because this expense does not impact the Company's ability to pay or sustain a dividend. We note that having a fixed payout against Adjusted earnings per share enables a high certainty and relative dividend payout, which investors have told us they value.</a:t>
          </a:r>
        </a:p>
        <a:p>
          <a:br>
            <a:rPr lang="en-US" sz="1100"/>
          </a:br>
          <a:r>
            <a:rPr lang="en-US" sz="1100"/>
            <a:t>b)</a:t>
          </a:r>
        </a:p>
        <a:p>
          <a:r>
            <a:rPr lang="en-US" sz="1100"/>
            <a:t>Management Compensation— In order to incentivize management to make sound investment decisions and focus on long-term financial growth, the Company's board of directors uses adjusted earnings metrics, including certain of the referenced Non-GAAP measures, when setting performance targets for, and measuring the achievement of, the Company's performance-based restricted stock units as well as determining performance achievement pertaining to management annual cash bonuses. Adjusted earnings per share is the key metric that Broadridge's board of directors uses for compensation purposes in order to align management with the interests of shareholders. Correspondingly, Adjusted earnings per share is a metric that investors and analysts focus on in their performance assessments.  The adjusted earnings metrics exclude the impact of amortization of acquired intangibles and purchased intellectual property.  </a:t>
          </a:r>
          <a:r>
            <a:rPr lang="en-US" sz="1100" b="1"/>
            <a:t>As noted above, the Company's board of directors wants to incentivize management to make appropriate capital allocation decisions free from the burden of near-term earnings metrics that may experience dilution from non-cash amortization expenses attributed to recent acquisitions. </a:t>
          </a:r>
          <a:r>
            <a:rPr lang="en-US" sz="1100"/>
            <a:t>Additionally, the Company's board of directors does not want to reward management in periods when amortization is expected to decline.  It is for this reason that approximately half of the Company's long-term incentives include adjusted earnings metrics that exclude acquisition amortization.</a:t>
          </a:r>
        </a:p>
        <a:p>
          <a:br>
            <a:rPr lang="en-US" sz="1100"/>
          </a:br>
          <a:r>
            <a:rPr lang="en-US" sz="1100"/>
            <a:t>d)</a:t>
          </a:r>
        </a:p>
        <a:p>
          <a:r>
            <a:rPr lang="en-US" sz="1100"/>
            <a:t>Equity valuation—The Company, in conjunction with a well-known investment bank and management consultancy firm, has studied how the investment community values the Company and its peers. This study is supported by meetings with dozens of investors each year.  We believe that our investors primarily evaluate the Company's equity valuation through a price/earnings multiple, where the earnings portion of the multiple is adjusted to exclude the impact of acquisition amortization.  We understand that investors view our peer group companies in a similar manner in order to benchmark the valuation and operating performance of all these companies consistently.</a:t>
          </a:r>
        </a:p>
        <a:p>
          <a:endParaRPr lang="en-US" sz="1100"/>
        </a:p>
        <a:p>
          <a:endParaRPr 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13</xdr:col>
      <xdr:colOff>333375</xdr:colOff>
      <xdr:row>1</xdr:row>
      <xdr:rowOff>76200</xdr:rowOff>
    </xdr:from>
    <xdr:to>
      <xdr:col>22</xdr:col>
      <xdr:colOff>233527</xdr:colOff>
      <xdr:row>21</xdr:row>
      <xdr:rowOff>76200</xdr:rowOff>
    </xdr:to>
    <xdr:pic>
      <xdr:nvPicPr>
        <xdr:cNvPr id="2" name="Picture 1">
          <a:extLst>
            <a:ext uri="{FF2B5EF4-FFF2-40B4-BE49-F238E27FC236}">
              <a16:creationId xmlns:a16="http://schemas.microsoft.com/office/drawing/2014/main" id="{4C1A3F09-4010-492A-A898-0D287EB7086E}"/>
            </a:ext>
          </a:extLst>
        </xdr:cNvPr>
        <xdr:cNvPicPr>
          <a:picLocks noChangeAspect="1"/>
        </xdr:cNvPicPr>
      </xdr:nvPicPr>
      <xdr:blipFill>
        <a:blip xmlns:r="http://schemas.openxmlformats.org/officeDocument/2006/relationships" r:embed="rId1"/>
        <a:stretch>
          <a:fillRect/>
        </a:stretch>
      </xdr:blipFill>
      <xdr:spPr>
        <a:xfrm>
          <a:off x="9848850" y="266700"/>
          <a:ext cx="5386552" cy="38100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1.bin"/><Relationship Id="rId1" Type="http://schemas.openxmlformats.org/officeDocument/2006/relationships/hyperlink" Target="https://www.youtube.com/watch?v=F9GfXJ-IrSA" TargetMode="External"/><Relationship Id="rId4" Type="http://schemas.openxmlformats.org/officeDocument/2006/relationships/comments" Target="../comments1.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7.bin"/><Relationship Id="rId1" Type="http://schemas.openxmlformats.org/officeDocument/2006/relationships/hyperlink" Target="http://people.stern.nyu.edu/adamodar/New_Home_Page/home.htm" TargetMode="External"/><Relationship Id="rId4" Type="http://schemas.openxmlformats.org/officeDocument/2006/relationships/comments" Target="../comments5.xml"/></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14250A-588F-42FE-B7D5-4FD491011502}">
  <sheetPr>
    <tabColor theme="4" tint="0.39997558519241921"/>
  </sheetPr>
  <dimension ref="A1:R56"/>
  <sheetViews>
    <sheetView topLeftCell="A6" workbookViewId="0">
      <selection activeCell="B24" sqref="B24"/>
    </sheetView>
  </sheetViews>
  <sheetFormatPr defaultRowHeight="15"/>
  <cols>
    <col min="1" max="1" width="57.85546875" bestFit="1" customWidth="1"/>
    <col min="2" max="2" width="20" bestFit="1" customWidth="1"/>
    <col min="3" max="3" width="12.5703125" bestFit="1" customWidth="1"/>
    <col min="4" max="4" width="13.42578125" customWidth="1"/>
    <col min="8" max="8" width="27.5703125" customWidth="1"/>
    <col min="9" max="9" width="12.28515625" customWidth="1"/>
    <col min="10" max="10" width="16.85546875" bestFit="1" customWidth="1"/>
    <col min="11" max="11" width="20.42578125" bestFit="1" customWidth="1"/>
    <col min="16" max="16" width="11.28515625" customWidth="1"/>
    <col min="17" max="17" width="15.28515625" customWidth="1"/>
    <col min="18" max="18" width="14.7109375" customWidth="1"/>
  </cols>
  <sheetData>
    <row r="1" spans="1:10">
      <c r="A1" s="1" t="s">
        <v>0</v>
      </c>
      <c r="B1" s="44">
        <v>45260</v>
      </c>
      <c r="H1" s="134" t="s">
        <v>673</v>
      </c>
      <c r="I1" s="134"/>
      <c r="J1" s="134"/>
    </row>
    <row r="2" spans="1:10" ht="15.75">
      <c r="A2" s="2" t="s">
        <v>1</v>
      </c>
      <c r="B2" s="42" t="s">
        <v>678</v>
      </c>
      <c r="H2" s="135" t="s">
        <v>675</v>
      </c>
      <c r="I2" s="135"/>
      <c r="J2" s="140" t="s">
        <v>676</v>
      </c>
    </row>
    <row r="3" spans="1:10">
      <c r="A3" t="s">
        <v>32</v>
      </c>
      <c r="H3" s="136" t="s">
        <v>674</v>
      </c>
      <c r="I3" s="137"/>
      <c r="J3" s="140"/>
    </row>
    <row r="4" spans="1:10">
      <c r="B4" s="1" t="s">
        <v>33</v>
      </c>
      <c r="C4" s="1" t="s">
        <v>34</v>
      </c>
      <c r="H4" s="138" t="s">
        <v>677</v>
      </c>
      <c r="I4" s="139"/>
      <c r="J4" s="140"/>
    </row>
    <row r="5" spans="1:10">
      <c r="A5" t="s">
        <v>2</v>
      </c>
      <c r="B5" s="34" t="s">
        <v>193</v>
      </c>
    </row>
    <row r="6" spans="1:10">
      <c r="A6" t="s">
        <v>3</v>
      </c>
      <c r="B6" s="34" t="s">
        <v>268</v>
      </c>
    </row>
    <row r="7" spans="1:10">
      <c r="A7" t="s">
        <v>4</v>
      </c>
      <c r="B7" s="34" t="s">
        <v>268</v>
      </c>
      <c r="D7" t="s">
        <v>293</v>
      </c>
    </row>
    <row r="8" spans="1:10">
      <c r="A8" t="s">
        <v>5</v>
      </c>
      <c r="B8" s="35">
        <v>21826.799999999999</v>
      </c>
      <c r="C8" s="35">
        <v>23446.1</v>
      </c>
      <c r="D8" s="36">
        <v>0.75</v>
      </c>
    </row>
    <row r="9" spans="1:10">
      <c r="A9" t="s">
        <v>6</v>
      </c>
      <c r="B9" s="35">
        <v>782.3</v>
      </c>
      <c r="C9" s="35">
        <v>968.4</v>
      </c>
      <c r="D9" s="36">
        <v>0.75</v>
      </c>
    </row>
    <row r="10" spans="1:10">
      <c r="A10" t="s">
        <v>7</v>
      </c>
      <c r="B10" s="35">
        <v>98.2</v>
      </c>
      <c r="C10" s="35">
        <v>85.3</v>
      </c>
    </row>
    <row r="11" spans="1:10">
      <c r="A11" t="s">
        <v>8</v>
      </c>
      <c r="B11" s="35">
        <v>844.1</v>
      </c>
      <c r="C11" s="35">
        <v>640.70000000000005</v>
      </c>
    </row>
    <row r="12" spans="1:10">
      <c r="A12" t="s">
        <v>9</v>
      </c>
      <c r="B12" s="35">
        <f>15+1786.4+449.8</f>
        <v>2251.2000000000003</v>
      </c>
      <c r="C12" s="35">
        <f>15+1791.9+444.2</f>
        <v>2251.1</v>
      </c>
    </row>
    <row r="13" spans="1:10">
      <c r="A13" t="s">
        <v>10</v>
      </c>
      <c r="B13" s="36" t="s">
        <v>295</v>
      </c>
      <c r="C13" s="4" t="s">
        <v>296</v>
      </c>
    </row>
    <row r="14" spans="1:10">
      <c r="A14" t="s">
        <v>11</v>
      </c>
      <c r="B14" s="36" t="s">
        <v>295</v>
      </c>
      <c r="C14" s="4" t="s">
        <v>297</v>
      </c>
    </row>
    <row r="15" spans="1:10">
      <c r="A15" t="s">
        <v>12</v>
      </c>
      <c r="B15" s="35">
        <f>124.8+8.5</f>
        <v>133.30000000000001</v>
      </c>
      <c r="C15" s="35">
        <f>60.5+17.9</f>
        <v>78.400000000000006</v>
      </c>
      <c r="F15" t="s">
        <v>669</v>
      </c>
    </row>
    <row r="16" spans="1:10">
      <c r="A16" t="s">
        <v>13</v>
      </c>
      <c r="B16" s="35">
        <v>0</v>
      </c>
      <c r="C16" s="35">
        <v>0</v>
      </c>
      <c r="F16" s="101">
        <v>0</v>
      </c>
    </row>
    <row r="17" spans="1:11">
      <c r="A17" t="s">
        <v>14</v>
      </c>
      <c r="B17" s="35">
        <v>0</v>
      </c>
      <c r="C17" s="35">
        <v>0</v>
      </c>
    </row>
    <row r="18" spans="1:11">
      <c r="A18" t="s">
        <v>15</v>
      </c>
      <c r="B18" s="37">
        <v>21.28</v>
      </c>
    </row>
    <row r="19" spans="1:11">
      <c r="A19" t="s">
        <v>16</v>
      </c>
      <c r="B19" s="35">
        <v>363.23</v>
      </c>
      <c r="E19" s="7" t="s">
        <v>331</v>
      </c>
      <c r="F19" s="8"/>
      <c r="G19" s="8"/>
      <c r="H19" s="8"/>
      <c r="I19" s="8"/>
      <c r="J19" s="8"/>
      <c r="K19" s="9"/>
    </row>
    <row r="20" spans="1:11">
      <c r="A20" t="s">
        <v>17</v>
      </c>
      <c r="B20" s="40">
        <f>131/538</f>
        <v>0.24349442379182157</v>
      </c>
      <c r="E20" s="5" t="s">
        <v>332</v>
      </c>
      <c r="K20" s="10"/>
    </row>
    <row r="21" spans="1:11">
      <c r="A21" t="s">
        <v>18</v>
      </c>
      <c r="B21" s="89">
        <v>0.25</v>
      </c>
      <c r="E21" s="5"/>
      <c r="I21" t="s">
        <v>339</v>
      </c>
      <c r="J21" t="s">
        <v>340</v>
      </c>
      <c r="K21" s="10" t="s">
        <v>341</v>
      </c>
    </row>
    <row r="22" spans="1:11">
      <c r="A22" s="1" t="s">
        <v>19</v>
      </c>
      <c r="B22" s="91" t="s">
        <v>650</v>
      </c>
      <c r="C22" s="92" t="s">
        <v>651</v>
      </c>
      <c r="E22" s="5" t="s">
        <v>333</v>
      </c>
      <c r="I22" s="46">
        <f>IF(C8&gt;0,(B8/C8)^(1/D8)-1, "NA")</f>
        <v>-9.1009645778371673E-2</v>
      </c>
      <c r="J22" s="46">
        <f>VLOOKUP(B6,'Industry Averages(US)'!A2:S96,3)</f>
        <v>0.17119444444444448</v>
      </c>
      <c r="K22" s="46">
        <f>VLOOKUP(B7,'Global industry averages'!A2:N96,3)</f>
        <v>8.8188805970149248E-2</v>
      </c>
    </row>
    <row r="23" spans="1:11">
      <c r="A23" t="s">
        <v>20</v>
      </c>
      <c r="B23" s="90">
        <v>0</v>
      </c>
      <c r="C23" s="40">
        <v>3.5000000000000003E-2</v>
      </c>
      <c r="D23" s="4" t="s">
        <v>298</v>
      </c>
      <c r="E23" s="5" t="s">
        <v>334</v>
      </c>
      <c r="I23" s="46">
        <f>'Valuation Output'!B4</f>
        <v>3.5841259369215825E-2</v>
      </c>
      <c r="J23" s="46">
        <f>VLOOKUP(B6,'Industry Averages(US)'!A2:S96,4)</f>
        <v>6.4840698016329953E-2</v>
      </c>
      <c r="K23" s="46">
        <f>VLOOKUP(B7,'Global industry averages'!A2:N96,4)</f>
        <v>5.2864793070736611E-2</v>
      </c>
    </row>
    <row r="24" spans="1:11">
      <c r="A24" t="s">
        <v>21</v>
      </c>
      <c r="B24" s="40">
        <v>0.04</v>
      </c>
      <c r="D24" s="4" t="s">
        <v>299</v>
      </c>
      <c r="E24" s="5" t="s">
        <v>335</v>
      </c>
      <c r="I24" s="48">
        <f>B8/(B11+B12-B15)</f>
        <v>7.3689399054692775</v>
      </c>
      <c r="J24" s="48">
        <f>VLOOKUP(B6,'Industry Averages(US)'!A2:S97,14)</f>
        <v>3.2313109542113141</v>
      </c>
      <c r="K24" s="48">
        <f>VLOOKUP(B7,'Global industry averages'!A2:N96,14)</f>
        <v>3.174007342761481</v>
      </c>
    </row>
    <row r="25" spans="1:11">
      <c r="A25" t="s">
        <v>22</v>
      </c>
      <c r="B25" s="39">
        <v>7</v>
      </c>
      <c r="C25" s="93">
        <v>4</v>
      </c>
      <c r="D25" s="4" t="s">
        <v>300</v>
      </c>
      <c r="E25" s="5" t="s">
        <v>336</v>
      </c>
      <c r="I25" s="46">
        <f>B9*(1-B20)/(C11+C12-C15-C16+C17)</f>
        <v>0.2103555528071579</v>
      </c>
      <c r="J25" s="46">
        <f>VLOOKUP(B6,'Industry Averages(US)'!A2:S97,5)</f>
        <v>0.15601912407155186</v>
      </c>
      <c r="K25" s="46">
        <f>VLOOKUP(B7,'Global industry averages'!A2:N96,5)</f>
        <v>0.12384134362101419</v>
      </c>
    </row>
    <row r="26" spans="1:11">
      <c r="A26" s="1" t="s">
        <v>23</v>
      </c>
      <c r="E26" s="5" t="s">
        <v>337</v>
      </c>
      <c r="I26" s="5"/>
      <c r="J26" s="46">
        <f>VLOOKUP(B6,'Industry Averages(US)'!A2:S97,10)</f>
        <v>0.35710895966484529</v>
      </c>
      <c r="K26" s="46">
        <f>VLOOKUP(B6,'Global industry averages'!A2:Z96,10)</f>
        <v>0.30421163829693049</v>
      </c>
    </row>
    <row r="27" spans="1:11">
      <c r="A27" t="s">
        <v>24</v>
      </c>
      <c r="B27" s="40">
        <v>4.2700000000000002E-2</v>
      </c>
      <c r="E27" s="6" t="s">
        <v>338</v>
      </c>
      <c r="F27" s="11"/>
      <c r="G27" s="11"/>
      <c r="H27" s="11"/>
      <c r="I27" s="6"/>
      <c r="J27" s="46">
        <f>VLOOKUP(B6,'Industry Averages(US)'!A2:S96,13)</f>
        <v>9.7032092787248961E-2</v>
      </c>
      <c r="K27" s="46">
        <f>VLOOKUP(B6,'Global industry averages'!A2:Z96,13)</f>
        <v>9.3315087519029755E-2</v>
      </c>
    </row>
    <row r="28" spans="1:11">
      <c r="A28" t="s">
        <v>25</v>
      </c>
      <c r="B28" s="59">
        <f>'Cost of capital worksheet'!E48</f>
        <v>8.821701449412063E-2</v>
      </c>
      <c r="C28" s="4" t="s">
        <v>301</v>
      </c>
    </row>
    <row r="29" spans="1:11">
      <c r="A29" s="1" t="s">
        <v>26</v>
      </c>
      <c r="D29" s="7" t="s">
        <v>342</v>
      </c>
      <c r="E29" s="8"/>
      <c r="F29" s="8"/>
      <c r="G29" s="8"/>
      <c r="H29" s="8"/>
      <c r="I29" s="9"/>
    </row>
    <row r="30" spans="1:11">
      <c r="A30" t="s">
        <v>27</v>
      </c>
      <c r="B30" s="36" t="s">
        <v>295</v>
      </c>
      <c r="D30" s="5" t="s">
        <v>343</v>
      </c>
      <c r="I30" s="45">
        <f>'Valuation Output'!M3</f>
        <v>30643.534467894089</v>
      </c>
    </row>
    <row r="31" spans="1:11">
      <c r="A31" t="s">
        <v>28</v>
      </c>
      <c r="B31" s="39">
        <v>3.6</v>
      </c>
      <c r="D31" s="5" t="s">
        <v>344</v>
      </c>
      <c r="I31" s="60">
        <f>'Valuation Output'!M5</f>
        <v>1225.7413787157636</v>
      </c>
    </row>
    <row r="32" spans="1:11">
      <c r="A32" t="s">
        <v>29</v>
      </c>
      <c r="B32" s="43">
        <v>82.6</v>
      </c>
      <c r="D32" s="5" t="s">
        <v>345</v>
      </c>
      <c r="I32" s="59">
        <f>'Valuation Output'!L40</f>
        <v>0.18169324565390568</v>
      </c>
    </row>
    <row r="33" spans="1:18">
      <c r="A33" t="s">
        <v>30</v>
      </c>
      <c r="B33" s="42">
        <v>5.6</v>
      </c>
      <c r="D33" s="6" t="s">
        <v>346</v>
      </c>
      <c r="E33" s="11"/>
      <c r="F33" s="11"/>
      <c r="G33" s="11"/>
      <c r="H33" s="11"/>
      <c r="I33" s="12"/>
    </row>
    <row r="34" spans="1:18">
      <c r="A34" t="s">
        <v>31</v>
      </c>
      <c r="B34" s="40">
        <v>0.184</v>
      </c>
    </row>
    <row r="36" spans="1:18">
      <c r="A36" t="s">
        <v>302</v>
      </c>
    </row>
    <row r="37" spans="1:18">
      <c r="A37" t="s">
        <v>303</v>
      </c>
    </row>
    <row r="38" spans="1:18">
      <c r="A38" t="s">
        <v>304</v>
      </c>
      <c r="B38" s="36" t="s">
        <v>295</v>
      </c>
      <c r="C38" s="4" t="s">
        <v>321</v>
      </c>
      <c r="J38" s="71" t="s">
        <v>610</v>
      </c>
      <c r="K38" s="72" t="s">
        <v>611</v>
      </c>
    </row>
    <row r="39" spans="1:18">
      <c r="A39" t="s">
        <v>305</v>
      </c>
      <c r="B39" s="40">
        <v>6.6799999999999998E-2</v>
      </c>
      <c r="C39" s="4" t="s">
        <v>322</v>
      </c>
      <c r="J39" s="73">
        <f>B27+6%</f>
        <v>0.1027</v>
      </c>
      <c r="K39" s="74">
        <f>B27+4%</f>
        <v>8.2699999999999996E-2</v>
      </c>
    </row>
    <row r="40" spans="1:18">
      <c r="A40" t="s">
        <v>306</v>
      </c>
      <c r="P40" s="122" t="s">
        <v>617</v>
      </c>
      <c r="Q40" s="123"/>
      <c r="R40" s="124"/>
    </row>
    <row r="41" spans="1:18">
      <c r="A41" t="s">
        <v>304</v>
      </c>
      <c r="B41" s="36" t="s">
        <v>295</v>
      </c>
      <c r="C41" s="4" t="s">
        <v>323</v>
      </c>
      <c r="J41" s="128" t="s">
        <v>612</v>
      </c>
      <c r="K41" s="129"/>
      <c r="L41" s="129" t="s">
        <v>613</v>
      </c>
      <c r="M41" s="129"/>
      <c r="N41" s="130"/>
      <c r="P41" s="6" t="s">
        <v>614</v>
      </c>
      <c r="Q41" s="11" t="s">
        <v>615</v>
      </c>
      <c r="R41" s="12" t="s">
        <v>616</v>
      </c>
    </row>
    <row r="42" spans="1:18">
      <c r="A42" t="s">
        <v>307</v>
      </c>
      <c r="B42" s="40">
        <v>8.8999999999999996E-2</v>
      </c>
      <c r="C42" s="4" t="s">
        <v>324</v>
      </c>
      <c r="J42" s="131">
        <f>B28+5%</f>
        <v>0.13821701449412063</v>
      </c>
      <c r="K42" s="132"/>
      <c r="L42" s="132">
        <f>B28+2.5%</f>
        <v>0.11321701449412064</v>
      </c>
      <c r="M42" s="132"/>
      <c r="N42" s="133"/>
      <c r="O42" t="s">
        <v>626</v>
      </c>
      <c r="P42" s="75">
        <f>B28+5%</f>
        <v>0.13821701449412063</v>
      </c>
      <c r="Q42" s="76">
        <f>J39+5%</f>
        <v>0.1527</v>
      </c>
      <c r="R42" s="77">
        <f>K39+5%</f>
        <v>0.13269999999999998</v>
      </c>
    </row>
    <row r="43" spans="1:18">
      <c r="A43" t="s">
        <v>308</v>
      </c>
      <c r="J43" s="125">
        <f>'Valuation Output'!M12+5%</f>
        <v>0.13769999999999999</v>
      </c>
      <c r="K43" s="126"/>
      <c r="L43" s="126">
        <f>'Valuation Output'!M12+2.5%</f>
        <v>0.11269999999999999</v>
      </c>
      <c r="M43" s="126"/>
      <c r="N43" s="127"/>
      <c r="O43" t="s">
        <v>627</v>
      </c>
      <c r="P43" s="85">
        <f>'Valuation Output'!M12+5%</f>
        <v>0.13769999999999999</v>
      </c>
      <c r="Q43" s="86">
        <f>J39+5%</f>
        <v>0.1527</v>
      </c>
      <c r="R43" s="87">
        <f>K39+5%</f>
        <v>0.13269999999999998</v>
      </c>
    </row>
    <row r="44" spans="1:18">
      <c r="A44" t="s">
        <v>304</v>
      </c>
      <c r="B44" s="36" t="s">
        <v>295</v>
      </c>
      <c r="C44" s="4" t="s">
        <v>325</v>
      </c>
    </row>
    <row r="45" spans="1:18">
      <c r="A45" t="s">
        <v>309</v>
      </c>
      <c r="B45" s="38">
        <v>0.2</v>
      </c>
      <c r="C45" s="4" t="s">
        <v>326</v>
      </c>
    </row>
    <row r="46" spans="1:18">
      <c r="A46" t="s">
        <v>310</v>
      </c>
      <c r="B46" s="36" t="s">
        <v>319</v>
      </c>
      <c r="C46" s="4" t="s">
        <v>327</v>
      </c>
    </row>
    <row r="47" spans="1:18">
      <c r="A47" t="s">
        <v>311</v>
      </c>
      <c r="B47" s="38">
        <v>0.5</v>
      </c>
      <c r="C47" s="4" t="s">
        <v>328</v>
      </c>
    </row>
    <row r="48" spans="1:18">
      <c r="A48" t="s">
        <v>312</v>
      </c>
    </row>
    <row r="49" spans="1:3">
      <c r="A49" t="s">
        <v>304</v>
      </c>
      <c r="B49" s="36" t="s">
        <v>295</v>
      </c>
    </row>
    <row r="50" spans="1:3">
      <c r="A50" t="s">
        <v>313</v>
      </c>
    </row>
    <row r="51" spans="1:3">
      <c r="A51" t="s">
        <v>304</v>
      </c>
      <c r="B51" s="36" t="s">
        <v>295</v>
      </c>
      <c r="C51" s="4" t="s">
        <v>329</v>
      </c>
    </row>
    <row r="52" spans="1:3">
      <c r="A52" t="s">
        <v>314</v>
      </c>
      <c r="B52" s="43">
        <v>250</v>
      </c>
      <c r="C52" s="4" t="s">
        <v>330</v>
      </c>
    </row>
    <row r="53" spans="1:3">
      <c r="A53" t="s">
        <v>315</v>
      </c>
    </row>
    <row r="54" spans="1:3">
      <c r="A54" t="s">
        <v>316</v>
      </c>
      <c r="B54" s="36" t="s">
        <v>295</v>
      </c>
    </row>
    <row r="55" spans="1:3">
      <c r="A55" t="s">
        <v>317</v>
      </c>
      <c r="B55" s="43">
        <v>150000</v>
      </c>
    </row>
    <row r="56" spans="1:3">
      <c r="A56" t="s">
        <v>318</v>
      </c>
      <c r="B56" s="38">
        <v>0.15</v>
      </c>
    </row>
  </sheetData>
  <mergeCells count="12">
    <mergeCell ref="H1:J1"/>
    <mergeCell ref="H2:I2"/>
    <mergeCell ref="H3:I3"/>
    <mergeCell ref="H4:I4"/>
    <mergeCell ref="J2:J4"/>
    <mergeCell ref="P40:R40"/>
    <mergeCell ref="J43:K43"/>
    <mergeCell ref="L43:N43"/>
    <mergeCell ref="J41:K41"/>
    <mergeCell ref="L41:N41"/>
    <mergeCell ref="J42:K42"/>
    <mergeCell ref="L42:N42"/>
  </mergeCells>
  <hyperlinks>
    <hyperlink ref="H1:J1" r:id="rId1" display="Video: How to use this spreadsheet" xr:uid="{3533312B-CB73-497E-AC8C-40559B58BE5F}"/>
  </hyperlinks>
  <pageMargins left="0.7" right="0.7" top="0.75" bottom="0.75" header="0.3" footer="0.3"/>
  <pageSetup orientation="portrait" verticalDpi="0" r:id="rId2"/>
  <legacyDrawing r:id="rId3"/>
  <extLst>
    <ext xmlns:x14="http://schemas.microsoft.com/office/spreadsheetml/2009/9/main" uri="{CCE6A557-97BC-4b89-ADB6-D9C93CAAB3DF}">
      <x14:dataValidations xmlns:xm="http://schemas.microsoft.com/office/excel/2006/main" count="5">
        <x14:dataValidation type="list" allowBlank="1" showInputMessage="1" showErrorMessage="1" xr:uid="{CAD64A1E-BD7D-44FF-8478-474E90ED20A4}">
          <x14:formula1>
            <xm:f>Countries!$A$2:$A$153</xm:f>
          </x14:formula1>
          <xm:sqref>B5</xm:sqref>
        </x14:dataValidation>
        <x14:dataValidation type="list" allowBlank="1" showInputMessage="1" showErrorMessage="1" xr:uid="{35FF1D7D-6758-43EF-985F-8CA82B5A3A0D}">
          <x14:formula1>
            <xm:f>Industries!$A$2:$A$95</xm:f>
          </x14:formula1>
          <xm:sqref>B6:B7</xm:sqref>
        </x14:dataValidation>
        <x14:dataValidation type="list" allowBlank="1" showInputMessage="1" showErrorMessage="1" xr:uid="{9D5A5711-3662-4D29-8768-0FB8A1BEF61F}">
          <x14:formula1>
            <xm:f>'Answer Keys'!$B$1:$B$4</xm:f>
          </x14:formula1>
          <xm:sqref>D8:D9</xm:sqref>
        </x14:dataValidation>
        <x14:dataValidation type="list" allowBlank="1" showInputMessage="1" showErrorMessage="1" xr:uid="{EE2EF3EC-7442-4184-9E4B-F6EA96B731F5}">
          <x14:formula1>
            <xm:f>'Answer Keys'!$A$1:$A$2</xm:f>
          </x14:formula1>
          <xm:sqref>B13:B14 B30 B38 B41 B44 B49 B51 B54</xm:sqref>
        </x14:dataValidation>
        <x14:dataValidation type="list" allowBlank="1" showInputMessage="1" showErrorMessage="1" xr:uid="{5E10C436-1827-4971-A0B8-10ADD6CACE7F}">
          <x14:formula1>
            <xm:f>'Answer Keys'!$C$1:$C$2</xm:f>
          </x14:formula1>
          <xm:sqref>B46</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8E0E2B-9687-47C1-B3AC-D3DEBC8DA9E0}">
  <sheetPr>
    <tabColor theme="4" tint="0.39997558519241921"/>
  </sheetPr>
  <dimension ref="A1:A95"/>
  <sheetViews>
    <sheetView workbookViewId="0"/>
  </sheetViews>
  <sheetFormatPr defaultRowHeight="15"/>
  <cols>
    <col min="1" max="1" width="36.140625" bestFit="1" customWidth="1"/>
  </cols>
  <sheetData>
    <row r="1" spans="1:1">
      <c r="A1" s="1" t="s">
        <v>198</v>
      </c>
    </row>
    <row r="2" spans="1:1">
      <c r="A2" t="s">
        <v>199</v>
      </c>
    </row>
    <row r="3" spans="1:1">
      <c r="A3" t="s">
        <v>200</v>
      </c>
    </row>
    <row r="4" spans="1:1">
      <c r="A4" t="s">
        <v>201</v>
      </c>
    </row>
    <row r="5" spans="1:1">
      <c r="A5" t="s">
        <v>202</v>
      </c>
    </row>
    <row r="6" spans="1:1">
      <c r="A6" t="s">
        <v>203</v>
      </c>
    </row>
    <row r="7" spans="1:1">
      <c r="A7" t="s">
        <v>204</v>
      </c>
    </row>
    <row r="8" spans="1:1">
      <c r="A8" t="s">
        <v>205</v>
      </c>
    </row>
    <row r="9" spans="1:1">
      <c r="A9" t="s">
        <v>206</v>
      </c>
    </row>
    <row r="10" spans="1:1">
      <c r="A10" t="s">
        <v>207</v>
      </c>
    </row>
    <row r="11" spans="1:1">
      <c r="A11" t="s">
        <v>208</v>
      </c>
    </row>
    <row r="12" spans="1:1">
      <c r="A12" t="s">
        <v>209</v>
      </c>
    </row>
    <row r="13" spans="1:1">
      <c r="A13" t="s">
        <v>210</v>
      </c>
    </row>
    <row r="14" spans="1:1">
      <c r="A14" t="s">
        <v>211</v>
      </c>
    </row>
    <row r="15" spans="1:1">
      <c r="A15" t="s">
        <v>212</v>
      </c>
    </row>
    <row r="16" spans="1:1">
      <c r="A16" t="s">
        <v>213</v>
      </c>
    </row>
    <row r="17" spans="1:1">
      <c r="A17" t="s">
        <v>214</v>
      </c>
    </row>
    <row r="18" spans="1:1">
      <c r="A18" t="s">
        <v>215</v>
      </c>
    </row>
    <row r="19" spans="1:1">
      <c r="A19" t="s">
        <v>216</v>
      </c>
    </row>
    <row r="20" spans="1:1">
      <c r="A20" t="s">
        <v>217</v>
      </c>
    </row>
    <row r="21" spans="1:1">
      <c r="A21" t="s">
        <v>218</v>
      </c>
    </row>
    <row r="22" spans="1:1">
      <c r="A22" t="s">
        <v>219</v>
      </c>
    </row>
    <row r="23" spans="1:1">
      <c r="A23" t="s">
        <v>220</v>
      </c>
    </row>
    <row r="24" spans="1:1">
      <c r="A24" t="s">
        <v>221</v>
      </c>
    </row>
    <row r="25" spans="1:1">
      <c r="A25" t="s">
        <v>222</v>
      </c>
    </row>
    <row r="26" spans="1:1">
      <c r="A26" t="s">
        <v>223</v>
      </c>
    </row>
    <row r="27" spans="1:1">
      <c r="A27" t="s">
        <v>224</v>
      </c>
    </row>
    <row r="28" spans="1:1">
      <c r="A28" t="s">
        <v>225</v>
      </c>
    </row>
    <row r="29" spans="1:1">
      <c r="A29" t="s">
        <v>226</v>
      </c>
    </row>
    <row r="30" spans="1:1">
      <c r="A30" t="s">
        <v>227</v>
      </c>
    </row>
    <row r="31" spans="1:1">
      <c r="A31" t="s">
        <v>228</v>
      </c>
    </row>
    <row r="32" spans="1:1">
      <c r="A32" t="s">
        <v>229</v>
      </c>
    </row>
    <row r="33" spans="1:1">
      <c r="A33" t="s">
        <v>230</v>
      </c>
    </row>
    <row r="34" spans="1:1">
      <c r="A34" t="s">
        <v>231</v>
      </c>
    </row>
    <row r="35" spans="1:1">
      <c r="A35" t="s">
        <v>232</v>
      </c>
    </row>
    <row r="36" spans="1:1">
      <c r="A36" t="s">
        <v>233</v>
      </c>
    </row>
    <row r="37" spans="1:1">
      <c r="A37" t="s">
        <v>234</v>
      </c>
    </row>
    <row r="38" spans="1:1">
      <c r="A38" t="s">
        <v>235</v>
      </c>
    </row>
    <row r="39" spans="1:1">
      <c r="A39" t="s">
        <v>236</v>
      </c>
    </row>
    <row r="40" spans="1:1">
      <c r="A40" t="s">
        <v>237</v>
      </c>
    </row>
    <row r="41" spans="1:1">
      <c r="A41" t="s">
        <v>238</v>
      </c>
    </row>
    <row r="42" spans="1:1">
      <c r="A42" t="s">
        <v>239</v>
      </c>
    </row>
    <row r="43" spans="1:1">
      <c r="A43" t="s">
        <v>240</v>
      </c>
    </row>
    <row r="44" spans="1:1">
      <c r="A44" t="s">
        <v>241</v>
      </c>
    </row>
    <row r="45" spans="1:1">
      <c r="A45" t="s">
        <v>242</v>
      </c>
    </row>
    <row r="46" spans="1:1">
      <c r="A46" t="s">
        <v>243</v>
      </c>
    </row>
    <row r="47" spans="1:1">
      <c r="A47" t="s">
        <v>244</v>
      </c>
    </row>
    <row r="48" spans="1:1">
      <c r="A48" t="s">
        <v>245</v>
      </c>
    </row>
    <row r="49" spans="1:1">
      <c r="A49" t="s">
        <v>246</v>
      </c>
    </row>
    <row r="50" spans="1:1">
      <c r="A50" t="s">
        <v>247</v>
      </c>
    </row>
    <row r="51" spans="1:1">
      <c r="A51" t="s">
        <v>248</v>
      </c>
    </row>
    <row r="52" spans="1:1">
      <c r="A52" t="s">
        <v>249</v>
      </c>
    </row>
    <row r="53" spans="1:1">
      <c r="A53" t="s">
        <v>250</v>
      </c>
    </row>
    <row r="54" spans="1:1">
      <c r="A54" t="s">
        <v>251</v>
      </c>
    </row>
    <row r="55" spans="1:1">
      <c r="A55" t="s">
        <v>252</v>
      </c>
    </row>
    <row r="56" spans="1:1">
      <c r="A56" t="s">
        <v>253</v>
      </c>
    </row>
    <row r="57" spans="1:1">
      <c r="A57" t="s">
        <v>254</v>
      </c>
    </row>
    <row r="58" spans="1:1">
      <c r="A58" t="s">
        <v>255</v>
      </c>
    </row>
    <row r="59" spans="1:1">
      <c r="A59" t="s">
        <v>256</v>
      </c>
    </row>
    <row r="60" spans="1:1">
      <c r="A60" t="s">
        <v>257</v>
      </c>
    </row>
    <row r="61" spans="1:1">
      <c r="A61" t="s">
        <v>258</v>
      </c>
    </row>
    <row r="62" spans="1:1">
      <c r="A62" t="s">
        <v>259</v>
      </c>
    </row>
    <row r="63" spans="1:1">
      <c r="A63" t="s">
        <v>260</v>
      </c>
    </row>
    <row r="64" spans="1:1">
      <c r="A64" t="s">
        <v>261</v>
      </c>
    </row>
    <row r="65" spans="1:1">
      <c r="A65" t="s">
        <v>262</v>
      </c>
    </row>
    <row r="66" spans="1:1">
      <c r="A66" t="s">
        <v>263</v>
      </c>
    </row>
    <row r="67" spans="1:1">
      <c r="A67" t="s">
        <v>264</v>
      </c>
    </row>
    <row r="68" spans="1:1">
      <c r="A68" t="s">
        <v>265</v>
      </c>
    </row>
    <row r="69" spans="1:1">
      <c r="A69" t="s">
        <v>266</v>
      </c>
    </row>
    <row r="70" spans="1:1">
      <c r="A70" t="s">
        <v>267</v>
      </c>
    </row>
    <row r="71" spans="1:1">
      <c r="A71" t="s">
        <v>268</v>
      </c>
    </row>
    <row r="72" spans="1:1">
      <c r="A72" t="s">
        <v>269</v>
      </c>
    </row>
    <row r="73" spans="1:1">
      <c r="A73" t="s">
        <v>270</v>
      </c>
    </row>
    <row r="74" spans="1:1">
      <c r="A74" t="s">
        <v>271</v>
      </c>
    </row>
    <row r="75" spans="1:1">
      <c r="A75" t="s">
        <v>272</v>
      </c>
    </row>
    <row r="76" spans="1:1">
      <c r="A76" t="s">
        <v>273</v>
      </c>
    </row>
    <row r="77" spans="1:1">
      <c r="A77" t="s">
        <v>274</v>
      </c>
    </row>
    <row r="78" spans="1:1">
      <c r="A78" t="s">
        <v>275</v>
      </c>
    </row>
    <row r="79" spans="1:1">
      <c r="A79" t="s">
        <v>276</v>
      </c>
    </row>
    <row r="80" spans="1:1">
      <c r="A80" t="s">
        <v>277</v>
      </c>
    </row>
    <row r="81" spans="1:1">
      <c r="A81" t="s">
        <v>278</v>
      </c>
    </row>
    <row r="82" spans="1:1">
      <c r="A82" t="s">
        <v>279</v>
      </c>
    </row>
    <row r="83" spans="1:1">
      <c r="A83" t="s">
        <v>280</v>
      </c>
    </row>
    <row r="84" spans="1:1">
      <c r="A84" t="s">
        <v>281</v>
      </c>
    </row>
    <row r="85" spans="1:1">
      <c r="A85" t="s">
        <v>282</v>
      </c>
    </row>
    <row r="86" spans="1:1">
      <c r="A86" t="s">
        <v>283</v>
      </c>
    </row>
    <row r="87" spans="1:1">
      <c r="A87" t="s">
        <v>284</v>
      </c>
    </row>
    <row r="88" spans="1:1">
      <c r="A88" t="s">
        <v>285</v>
      </c>
    </row>
    <row r="89" spans="1:1">
      <c r="A89" t="s">
        <v>286</v>
      </c>
    </row>
    <row r="90" spans="1:1">
      <c r="A90" t="s">
        <v>287</v>
      </c>
    </row>
    <row r="91" spans="1:1">
      <c r="A91" t="s">
        <v>288</v>
      </c>
    </row>
    <row r="92" spans="1:1">
      <c r="A92" t="s">
        <v>289</v>
      </c>
    </row>
    <row r="93" spans="1:1">
      <c r="A93" t="s">
        <v>290</v>
      </c>
    </row>
    <row r="94" spans="1:1">
      <c r="A94" t="s">
        <v>291</v>
      </c>
    </row>
    <row r="95" spans="1:1">
      <c r="A95" t="s">
        <v>292</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122278-C5B0-46D7-BF46-4D14F6812CE0}">
  <sheetPr>
    <tabColor theme="4" tint="0.39997558519241921"/>
  </sheetPr>
  <dimension ref="A1:Z96"/>
  <sheetViews>
    <sheetView workbookViewId="0"/>
  </sheetViews>
  <sheetFormatPr defaultRowHeight="15"/>
  <cols>
    <col min="1" max="1" width="36.140625" bestFit="1" customWidth="1"/>
    <col min="15" max="15" width="9.140625" style="65"/>
    <col min="23" max="23" width="11.28515625" customWidth="1"/>
  </cols>
  <sheetData>
    <row r="1" spans="1:26" s="25" customFormat="1" ht="72">
      <c r="A1" s="26" t="s">
        <v>198</v>
      </c>
      <c r="B1" s="114" t="s">
        <v>562</v>
      </c>
      <c r="C1" s="117" t="s">
        <v>563</v>
      </c>
      <c r="D1" s="114" t="s">
        <v>564</v>
      </c>
      <c r="E1" s="117" t="s">
        <v>565</v>
      </c>
      <c r="F1" s="114" t="s">
        <v>566</v>
      </c>
      <c r="G1" s="114" t="s">
        <v>515</v>
      </c>
      <c r="H1" s="114" t="s">
        <v>567</v>
      </c>
      <c r="I1" s="114" t="s">
        <v>568</v>
      </c>
      <c r="J1" s="114" t="s">
        <v>569</v>
      </c>
      <c r="K1" s="114" t="s">
        <v>570</v>
      </c>
      <c r="L1" s="114" t="s">
        <v>571</v>
      </c>
      <c r="M1" s="114" t="s">
        <v>357</v>
      </c>
      <c r="N1" s="115" t="s">
        <v>572</v>
      </c>
      <c r="O1" s="114" t="s">
        <v>511</v>
      </c>
      <c r="P1" s="114" t="s">
        <v>573</v>
      </c>
      <c r="Q1" s="114" t="s">
        <v>574</v>
      </c>
      <c r="R1" s="114" t="s">
        <v>575</v>
      </c>
      <c r="S1" s="114" t="s">
        <v>576</v>
      </c>
      <c r="T1" s="114" t="s">
        <v>577</v>
      </c>
      <c r="U1" s="111" t="s">
        <v>578</v>
      </c>
      <c r="V1" s="114" t="s">
        <v>579</v>
      </c>
      <c r="W1" s="114" t="s">
        <v>580</v>
      </c>
      <c r="X1" s="68" t="s">
        <v>581</v>
      </c>
      <c r="Y1" s="68" t="s">
        <v>582</v>
      </c>
      <c r="Z1" s="68" t="s">
        <v>583</v>
      </c>
    </row>
    <row r="2" spans="1:26">
      <c r="A2" t="s">
        <v>199</v>
      </c>
      <c r="B2">
        <v>58</v>
      </c>
      <c r="C2" s="3">
        <v>0.18166952380952381</v>
      </c>
      <c r="D2" s="3">
        <v>0.13497496915311533</v>
      </c>
      <c r="E2" s="3">
        <v>0.36620071377578411</v>
      </c>
      <c r="F2" s="3">
        <v>6.3905088196058474E-2</v>
      </c>
      <c r="G2" s="65">
        <v>1.2200667064535347</v>
      </c>
      <c r="H2" s="65">
        <v>1.6317380595347237</v>
      </c>
      <c r="I2" s="3">
        <v>0.13572524073636261</v>
      </c>
      <c r="J2" s="3">
        <v>0.52722114455333013</v>
      </c>
      <c r="K2" s="3">
        <v>5.8800000000000005E-2</v>
      </c>
      <c r="L2" s="3">
        <v>0.31029224250137583</v>
      </c>
      <c r="M2" s="3">
        <v>0.10729463931854823</v>
      </c>
      <c r="N2" s="65">
        <v>3.5126083048469772</v>
      </c>
      <c r="O2" s="65">
        <v>1.9623441180972629</v>
      </c>
      <c r="P2" s="65">
        <v>10.360206985338735</v>
      </c>
      <c r="Q2" s="65">
        <v>17.033233750199781</v>
      </c>
      <c r="R2" s="65">
        <v>4.5860864384363973</v>
      </c>
      <c r="S2" s="65">
        <v>13.993381837579332</v>
      </c>
      <c r="T2" s="3">
        <v>3.141449120879309E-2</v>
      </c>
      <c r="U2" s="3">
        <v>-1.911835966362643E-2</v>
      </c>
      <c r="V2" s="3">
        <v>1.7750375959909692E-2</v>
      </c>
      <c r="W2" s="3">
        <v>0.55526669348402391</v>
      </c>
      <c r="X2" s="3">
        <v>0.13567415534535524</v>
      </c>
      <c r="Y2" s="3">
        <v>0.67633368355344103</v>
      </c>
      <c r="Z2" s="3">
        <v>0.64600000000000002</v>
      </c>
    </row>
    <row r="3" spans="1:26">
      <c r="A3" t="s">
        <v>200</v>
      </c>
      <c r="B3">
        <v>77</v>
      </c>
      <c r="C3" s="3">
        <v>3.9922558139534867E-2</v>
      </c>
      <c r="D3" s="3">
        <v>9.8926465022525348E-2</v>
      </c>
      <c r="E3" s="3">
        <v>0.15249479884885908</v>
      </c>
      <c r="F3" s="3">
        <v>8.602766440767734E-2</v>
      </c>
      <c r="G3" s="65">
        <v>1.1829920337061723</v>
      </c>
      <c r="H3" s="65">
        <v>1.4141822802591859</v>
      </c>
      <c r="I3" s="3">
        <v>0.12280242744739564</v>
      </c>
      <c r="J3" s="3">
        <v>0.3755554495377183</v>
      </c>
      <c r="K3" s="3">
        <v>5.5E-2</v>
      </c>
      <c r="L3" s="3">
        <v>0.20670883607151089</v>
      </c>
      <c r="M3" s="3">
        <v>0.10594482009093814</v>
      </c>
      <c r="N3" s="65">
        <v>1.8653814845726677</v>
      </c>
      <c r="O3" s="65">
        <v>2.5451075841894681</v>
      </c>
      <c r="P3" s="65">
        <v>14.590340622882026</v>
      </c>
      <c r="Q3" s="65">
        <v>23.976115141646229</v>
      </c>
      <c r="R3" s="65">
        <v>4.9344353649769275</v>
      </c>
      <c r="S3" s="65">
        <v>53.685999313498989</v>
      </c>
      <c r="T3" s="3">
        <v>0.46912992617043536</v>
      </c>
      <c r="U3" s="3">
        <v>-1.3339522457738126E-2</v>
      </c>
      <c r="V3" s="3">
        <v>6.2769383959631062E-3</v>
      </c>
      <c r="W3" s="3">
        <v>0.32747182434374533</v>
      </c>
      <c r="X3" s="3">
        <v>9.8725880826047718E-2</v>
      </c>
      <c r="Y3" s="3">
        <v>0.70696836686859155</v>
      </c>
      <c r="Z3" s="3">
        <v>0.35320000000000001</v>
      </c>
    </row>
    <row r="4" spans="1:26">
      <c r="A4" t="s">
        <v>201</v>
      </c>
      <c r="B4">
        <v>21</v>
      </c>
      <c r="C4" s="3">
        <v>2.2412499999999995E-2</v>
      </c>
      <c r="D4" s="3">
        <v>2.5515415562917278E-2</v>
      </c>
      <c r="E4" s="3">
        <v>3.075109258968068E-2</v>
      </c>
      <c r="F4" s="3">
        <v>0.10471812677937932</v>
      </c>
      <c r="G4" s="65">
        <v>0.59059874491120445</v>
      </c>
      <c r="H4" s="65">
        <v>1.4159650876966507</v>
      </c>
      <c r="I4" s="3">
        <v>0.12290832620918106</v>
      </c>
      <c r="J4" s="3">
        <v>0.37727498727802966</v>
      </c>
      <c r="K4" s="3">
        <v>5.5E-2</v>
      </c>
      <c r="L4" s="3">
        <v>0.65075795959710081</v>
      </c>
      <c r="M4" s="3">
        <v>6.9768520461179928E-2</v>
      </c>
      <c r="N4" s="65">
        <v>1.601522515617954</v>
      </c>
      <c r="O4" s="65">
        <v>1.0151710556389202</v>
      </c>
      <c r="P4" s="65">
        <v>9.3937280818568443</v>
      </c>
      <c r="Q4" s="65">
        <v>47.450143637072152</v>
      </c>
      <c r="R4" s="65">
        <v>2.7353414818155688</v>
      </c>
      <c r="S4" s="65">
        <v>71.793907476752722</v>
      </c>
      <c r="T4" s="3">
        <v>1.0475454736403853E-2</v>
      </c>
      <c r="U4" s="3">
        <v>1.7990003600578661E-2</v>
      </c>
      <c r="V4" s="3">
        <v>4.0286206800687077E-2</v>
      </c>
      <c r="W4" s="3">
        <v>2.0993404736810848</v>
      </c>
      <c r="X4" s="3">
        <v>-0.11368810625736339</v>
      </c>
      <c r="Y4" s="3">
        <v>0</v>
      </c>
      <c r="Z4" s="3">
        <v>6.7799999999999999E-2</v>
      </c>
    </row>
    <row r="5" spans="1:26">
      <c r="A5" t="s">
        <v>202</v>
      </c>
      <c r="B5">
        <v>39</v>
      </c>
      <c r="C5" s="3">
        <v>5.8356956521739133E-2</v>
      </c>
      <c r="D5" s="3">
        <v>0.11061536203209842</v>
      </c>
      <c r="E5" s="3">
        <v>0.20566758390991585</v>
      </c>
      <c r="F5" s="3">
        <v>0.12038118261958633</v>
      </c>
      <c r="G5" s="65">
        <v>0.95522385043464364</v>
      </c>
      <c r="H5" s="65">
        <v>1.3246974025641622</v>
      </c>
      <c r="I5" s="3">
        <v>0.11748702571231125</v>
      </c>
      <c r="J5" s="3">
        <v>0.38508746928890447</v>
      </c>
      <c r="K5" s="3">
        <v>5.5E-2</v>
      </c>
      <c r="L5" s="3">
        <v>0.34024906959820889</v>
      </c>
      <c r="M5" s="3">
        <v>9.1547448644762622E-2</v>
      </c>
      <c r="N5" s="65">
        <v>2.1037931987291998</v>
      </c>
      <c r="O5" s="65">
        <v>1.1592906024030611</v>
      </c>
      <c r="P5" s="65">
        <v>7.0219998222904456</v>
      </c>
      <c r="Q5" s="65">
        <v>10.381787550219668</v>
      </c>
      <c r="R5" s="65">
        <v>2.4205588689707218</v>
      </c>
      <c r="S5" s="65">
        <v>13.804567941679538</v>
      </c>
      <c r="T5" s="3">
        <v>0.26207135646756324</v>
      </c>
      <c r="U5" s="3">
        <v>1.5531388063582379E-3</v>
      </c>
      <c r="V5" s="3">
        <v>1.5269741052495196E-2</v>
      </c>
      <c r="W5" s="3">
        <v>1.1025108153914758</v>
      </c>
      <c r="X5" s="3">
        <v>0.13522490180674987</v>
      </c>
      <c r="Y5" s="3">
        <v>0.54315896470238101</v>
      </c>
      <c r="Z5" s="3">
        <v>0.3458</v>
      </c>
    </row>
    <row r="6" spans="1:26">
      <c r="A6" t="s">
        <v>203</v>
      </c>
      <c r="B6">
        <v>31</v>
      </c>
      <c r="C6" s="3">
        <v>0.28059499999999998</v>
      </c>
      <c r="D6" s="3">
        <v>7.9540596800825286E-2</v>
      </c>
      <c r="E6" s="3">
        <v>6.4613470545131613E-2</v>
      </c>
      <c r="F6" s="3">
        <v>2.9973504818388647E-2</v>
      </c>
      <c r="G6" s="65">
        <v>1.119268697509356</v>
      </c>
      <c r="H6" s="65">
        <v>1.5405976750533805</v>
      </c>
      <c r="I6" s="3">
        <v>0.13031150189817081</v>
      </c>
      <c r="J6" s="3">
        <v>0.52614124875248369</v>
      </c>
      <c r="K6" s="3">
        <v>5.8800000000000005E-2</v>
      </c>
      <c r="L6" s="3">
        <v>0.33418107062895108</v>
      </c>
      <c r="M6" s="3">
        <v>0.10150124989331025</v>
      </c>
      <c r="N6" s="65">
        <v>0.94528664863581657</v>
      </c>
      <c r="O6" s="65">
        <v>1.8115110523190732</v>
      </c>
      <c r="P6" s="65">
        <v>12.745223056693563</v>
      </c>
      <c r="Q6" s="65">
        <v>27.015469059860539</v>
      </c>
      <c r="R6" s="65">
        <v>2.9173208877532226</v>
      </c>
      <c r="S6" s="65">
        <v>10.303473979252582</v>
      </c>
      <c r="T6" s="3">
        <v>-2.638232462945013E-3</v>
      </c>
      <c r="U6" s="3">
        <v>4.6115116875564834E-2</v>
      </c>
      <c r="V6" s="3">
        <v>4.6343953094668419E-2</v>
      </c>
      <c r="W6" s="3">
        <v>0.89083027454938746</v>
      </c>
      <c r="X6" s="3">
        <v>0.15677154224933043</v>
      </c>
      <c r="Y6" s="3">
        <v>0.10549811796720597</v>
      </c>
      <c r="Z6" s="3">
        <v>0.45179999999999998</v>
      </c>
    </row>
    <row r="7" spans="1:26">
      <c r="A7" t="s">
        <v>204</v>
      </c>
      <c r="B7">
        <v>37</v>
      </c>
      <c r="C7" s="3">
        <v>7.0743333333333325E-2</v>
      </c>
      <c r="D7" s="3">
        <v>5.8190874273517705E-2</v>
      </c>
      <c r="E7" s="3">
        <v>0.10259465039163591</v>
      </c>
      <c r="F7" s="3">
        <v>9.2966768218859283E-2</v>
      </c>
      <c r="G7" s="65">
        <v>1.1167319258586119</v>
      </c>
      <c r="H7" s="65">
        <v>1.4739918130238336</v>
      </c>
      <c r="I7" s="3">
        <v>0.12635511369361574</v>
      </c>
      <c r="J7" s="3">
        <v>0.39519394771296495</v>
      </c>
      <c r="K7" s="3">
        <v>5.5E-2</v>
      </c>
      <c r="L7" s="3">
        <v>0.29901008239034443</v>
      </c>
      <c r="M7" s="3">
        <v>0.10090782663624806</v>
      </c>
      <c r="N7" s="65">
        <v>1.9747050886050657</v>
      </c>
      <c r="O7" s="65">
        <v>0.82277242784956561</v>
      </c>
      <c r="P7" s="65">
        <v>7.1796271178219921</v>
      </c>
      <c r="Q7" s="65">
        <v>14.540547974540397</v>
      </c>
      <c r="R7" s="65">
        <v>1.8900634744418994</v>
      </c>
      <c r="S7" s="65">
        <v>31.628193367611757</v>
      </c>
      <c r="T7" s="3">
        <v>0.16055172230589412</v>
      </c>
      <c r="U7" s="3">
        <v>2.087451364490318E-2</v>
      </c>
      <c r="V7" s="3">
        <v>3.6695997763959105E-2</v>
      </c>
      <c r="W7" s="3">
        <v>1.6270607086056388</v>
      </c>
      <c r="X7" s="3">
        <v>7.0338780156085273E-2</v>
      </c>
      <c r="Y7" s="3">
        <v>0.37139521238957468</v>
      </c>
      <c r="Z7" s="3">
        <v>0.18140000000000001</v>
      </c>
    </row>
    <row r="8" spans="1:26">
      <c r="A8" t="s">
        <v>205</v>
      </c>
      <c r="B8">
        <v>7</v>
      </c>
      <c r="C8" s="3">
        <v>1.9400000000000001E-2</v>
      </c>
      <c r="D8" s="3">
        <v>2.3841087788545812E-2</v>
      </c>
      <c r="E8" s="3">
        <v>2.6445657070231255E-4</v>
      </c>
      <c r="F8" s="3">
        <v>0.16253159242370313</v>
      </c>
      <c r="G8" s="65">
        <v>0.41179893709273513</v>
      </c>
      <c r="H8" s="65">
        <v>1.0801015876287672</v>
      </c>
      <c r="I8" s="3">
        <v>0.10295803430514877</v>
      </c>
      <c r="J8" s="3">
        <v>0.19594323414619666</v>
      </c>
      <c r="K8" s="3">
        <v>4.7300000000000002E-2</v>
      </c>
      <c r="L8" s="3">
        <v>0.683929164378137</v>
      </c>
      <c r="M8" s="3">
        <v>5.6804419043127219E-2</v>
      </c>
      <c r="N8" s="65">
        <v>0.31756087167554575</v>
      </c>
      <c r="O8" s="65">
        <v>4.4949345620830741</v>
      </c>
      <c r="P8" s="65" t="s">
        <v>584</v>
      </c>
      <c r="Q8" s="65" t="s">
        <v>584</v>
      </c>
      <c r="R8" s="65">
        <v>0.98755539941078185</v>
      </c>
      <c r="S8" s="65">
        <v>9.5165439103276555</v>
      </c>
      <c r="T8" t="s">
        <v>584</v>
      </c>
      <c r="U8" s="3">
        <v>1.0567244136700984E-2</v>
      </c>
      <c r="V8" s="3">
        <v>1.3070339707981026E-2</v>
      </c>
      <c r="W8">
        <v>-128.48607336966558</v>
      </c>
      <c r="X8" s="3">
        <v>0.11345074325185552</v>
      </c>
      <c r="Y8" s="3">
        <v>0.2836234354829657</v>
      </c>
      <c r="Z8" s="3">
        <v>0.21279999999999999</v>
      </c>
    </row>
    <row r="9" spans="1:26">
      <c r="A9" t="s">
        <v>206</v>
      </c>
      <c r="B9">
        <v>557</v>
      </c>
      <c r="C9" s="3">
        <v>0.11019711409395982</v>
      </c>
      <c r="D9" s="3">
        <v>1.4536814798369154E-2</v>
      </c>
      <c r="E9" s="3">
        <v>-3.6811631590712022E-4</v>
      </c>
      <c r="F9" s="3">
        <v>0.18838462629709835</v>
      </c>
      <c r="G9" s="65">
        <v>0.34006312368726666</v>
      </c>
      <c r="H9" s="65">
        <v>0.50487423475647786</v>
      </c>
      <c r="I9" s="3">
        <v>6.8789529544534794E-2</v>
      </c>
      <c r="J9" s="3">
        <v>0.16758082918349013</v>
      </c>
      <c r="K9" s="3">
        <v>4.7300000000000002E-2</v>
      </c>
      <c r="L9" s="3">
        <v>0.3925396989484301</v>
      </c>
      <c r="M9" s="3">
        <v>5.5712254146514525E-2</v>
      </c>
      <c r="N9" s="65">
        <v>0.46900063005241044</v>
      </c>
      <c r="O9" s="65">
        <v>4.3436213032827986</v>
      </c>
      <c r="P9" s="65" t="s">
        <v>584</v>
      </c>
      <c r="Q9" s="65" t="s">
        <v>584</v>
      </c>
      <c r="R9" s="65">
        <v>1.2366998102860649</v>
      </c>
      <c r="S9" s="65">
        <v>24.601279933873428</v>
      </c>
      <c r="T9" t="s">
        <v>584</v>
      </c>
      <c r="U9" s="3">
        <v>2.0083498513917483E-2</v>
      </c>
      <c r="V9" s="3">
        <v>-4.3451691210799066E-2</v>
      </c>
      <c r="W9" t="s">
        <v>584</v>
      </c>
      <c r="X9" s="3">
        <v>0.11799058812595946</v>
      </c>
      <c r="Y9" s="3">
        <v>0.29107212625014139</v>
      </c>
      <c r="Z9" s="3">
        <v>0.27689999999999998</v>
      </c>
    </row>
    <row r="10" spans="1:26">
      <c r="A10" t="s">
        <v>207</v>
      </c>
      <c r="B10">
        <v>23</v>
      </c>
      <c r="C10" s="3">
        <v>0.12543749999999998</v>
      </c>
      <c r="D10" s="3">
        <v>0.2058766867282352</v>
      </c>
      <c r="E10" s="3">
        <v>0.14657661188814805</v>
      </c>
      <c r="F10" s="3">
        <v>9.3937841767617533E-2</v>
      </c>
      <c r="G10" s="65">
        <v>0.86444328818166272</v>
      </c>
      <c r="H10" s="65">
        <v>1.0129742331996445</v>
      </c>
      <c r="I10" s="3">
        <v>9.8970669452058888E-2</v>
      </c>
      <c r="J10" s="3">
        <v>0.49874676442989341</v>
      </c>
      <c r="K10" s="3">
        <v>5.5E-2</v>
      </c>
      <c r="L10" s="3">
        <v>0.18639448485009497</v>
      </c>
      <c r="M10" s="3">
        <v>8.8211855004339756E-2</v>
      </c>
      <c r="N10" s="65">
        <v>0.80200007324657852</v>
      </c>
      <c r="O10" s="65">
        <v>4.0713428168470944</v>
      </c>
      <c r="P10" s="65">
        <v>15.905118508516384</v>
      </c>
      <c r="Q10" s="65">
        <v>20.151879327037321</v>
      </c>
      <c r="R10" s="65">
        <v>3.1924325323981106</v>
      </c>
      <c r="S10" s="65">
        <v>111.50158955717302</v>
      </c>
      <c r="T10" s="3">
        <v>0.15335977242937937</v>
      </c>
      <c r="U10" s="3">
        <v>4.4906602485042947E-2</v>
      </c>
      <c r="V10" s="3">
        <v>5.6799689637347855E-2</v>
      </c>
      <c r="W10" s="3">
        <v>0.5682188940381574</v>
      </c>
      <c r="X10" s="3">
        <v>5.2846235851230244E-2</v>
      </c>
      <c r="Y10" s="3">
        <v>0.79003164852109986</v>
      </c>
      <c r="Z10" s="3">
        <v>0.30959999999999999</v>
      </c>
    </row>
    <row r="11" spans="1:26">
      <c r="A11" t="s">
        <v>208</v>
      </c>
      <c r="B11">
        <v>31</v>
      </c>
      <c r="C11" s="3">
        <v>0.15048545454545456</v>
      </c>
      <c r="D11" s="3">
        <v>0.19662292546084886</v>
      </c>
      <c r="E11" s="3">
        <v>0.28719366734568558</v>
      </c>
      <c r="F11" s="3">
        <v>6.4164664471146424E-2</v>
      </c>
      <c r="G11" s="65">
        <v>1.1695131889554631</v>
      </c>
      <c r="H11" s="65">
        <v>1.3034433070435496</v>
      </c>
      <c r="I11" s="3">
        <v>0.11622453243838685</v>
      </c>
      <c r="J11" s="3">
        <v>0.41717146856964005</v>
      </c>
      <c r="K11" s="3">
        <v>5.5E-2</v>
      </c>
      <c r="L11" s="3">
        <v>0.13246439822297759</v>
      </c>
      <c r="M11" s="3">
        <v>0.10629307611688682</v>
      </c>
      <c r="N11" s="65">
        <v>1.6029900764895542</v>
      </c>
      <c r="O11" s="65">
        <v>4.6668573425784556</v>
      </c>
      <c r="P11" s="65">
        <v>20.008347527759813</v>
      </c>
      <c r="Q11" s="65">
        <v>24.137168786878842</v>
      </c>
      <c r="R11" s="65">
        <v>8.2272736766253658</v>
      </c>
      <c r="S11" s="65">
        <v>39.552594480627498</v>
      </c>
      <c r="T11" s="3">
        <v>-9.0576564930885367E-2</v>
      </c>
      <c r="U11" s="3">
        <v>7.4061711823084256E-2</v>
      </c>
      <c r="V11" s="3">
        <v>5.6771639556521265E-2</v>
      </c>
      <c r="W11" s="3">
        <v>0.29140445421199807</v>
      </c>
      <c r="X11" s="3">
        <v>0.31944669288621974</v>
      </c>
      <c r="Y11" s="3">
        <v>0.56516587527367568</v>
      </c>
      <c r="Z11" s="3">
        <v>0.83530000000000004</v>
      </c>
    </row>
    <row r="12" spans="1:26">
      <c r="A12" t="s">
        <v>209</v>
      </c>
      <c r="B12">
        <v>26</v>
      </c>
      <c r="C12" s="3">
        <v>0.19544111111111115</v>
      </c>
      <c r="D12" s="3">
        <v>0.15355658987794618</v>
      </c>
      <c r="E12" s="3">
        <v>0.13517156563045288</v>
      </c>
      <c r="F12" s="3">
        <v>0.15763232212904729</v>
      </c>
      <c r="G12" s="65">
        <v>0.62918004748811163</v>
      </c>
      <c r="H12" s="65">
        <v>1.3220586425472229</v>
      </c>
      <c r="I12" s="3">
        <v>0.11733028336730504</v>
      </c>
      <c r="J12" s="3">
        <v>0.468984145587513</v>
      </c>
      <c r="K12" s="3">
        <v>5.5E-2</v>
      </c>
      <c r="L12" s="3">
        <v>0.59486626883899241</v>
      </c>
      <c r="M12" s="3">
        <v>7.2072689068383045E-2</v>
      </c>
      <c r="N12" s="65">
        <v>1.0882185560425841</v>
      </c>
      <c r="O12" s="65">
        <v>1.327352847501104</v>
      </c>
      <c r="P12" s="65">
        <v>6.5519630524093646</v>
      </c>
      <c r="Q12" s="65">
        <v>8.9842493177172393</v>
      </c>
      <c r="R12" s="65">
        <v>0.88176524838881909</v>
      </c>
      <c r="S12" s="65">
        <v>6.9331886334439696</v>
      </c>
      <c r="T12" s="3">
        <v>0.10620894391959061</v>
      </c>
      <c r="U12" s="3">
        <v>-1.0518597030448126E-2</v>
      </c>
      <c r="V12" s="3">
        <v>2.5468002540459899E-2</v>
      </c>
      <c r="W12" s="3">
        <v>2.1013859237709163</v>
      </c>
      <c r="X12" s="3">
        <v>0.20758583832448124</v>
      </c>
      <c r="Y12" s="3">
        <v>0.14361734100768372</v>
      </c>
      <c r="Z12" s="3">
        <v>0.20399999999999999</v>
      </c>
    </row>
    <row r="13" spans="1:26">
      <c r="A13" t="s">
        <v>210</v>
      </c>
      <c r="B13">
        <v>30</v>
      </c>
      <c r="C13" s="3">
        <v>0.14228750000000001</v>
      </c>
      <c r="D13" s="3">
        <v>4.3059420479428678E-2</v>
      </c>
      <c r="E13" s="3">
        <v>5.645094247926231E-4</v>
      </c>
      <c r="F13" s="3">
        <v>0.15316532055412033</v>
      </c>
      <c r="G13" s="65">
        <v>0.48035498262864479</v>
      </c>
      <c r="H13" s="65">
        <v>1.2048082896180194</v>
      </c>
      <c r="I13" s="3">
        <v>0.11036561240331036</v>
      </c>
      <c r="J13" s="3">
        <v>0.27996249256243011</v>
      </c>
      <c r="K13" s="3">
        <v>5.5E-2</v>
      </c>
      <c r="L13" s="3">
        <v>0.66787153511038466</v>
      </c>
      <c r="M13" s="3">
        <v>6.4205262247417128E-2</v>
      </c>
      <c r="N13" s="65">
        <v>0.26390729940029073</v>
      </c>
      <c r="O13" s="65">
        <v>4.4584614233683109</v>
      </c>
      <c r="P13" s="65" t="s">
        <v>584</v>
      </c>
      <c r="Q13" s="65" t="s">
        <v>584</v>
      </c>
      <c r="R13" s="65">
        <v>1.6222402453644245</v>
      </c>
      <c r="S13" s="65">
        <v>15.398825088840153</v>
      </c>
      <c r="T13" t="s">
        <v>584</v>
      </c>
      <c r="U13" s="3">
        <v>2.7448227056769928E-2</v>
      </c>
      <c r="V13" s="3">
        <v>2.5052525387016997E-2</v>
      </c>
      <c r="W13" s="3">
        <v>-106.71129131280301</v>
      </c>
      <c r="X13" s="3">
        <v>0.13433666755237328</v>
      </c>
      <c r="Y13" s="3">
        <v>0.2868814096660765</v>
      </c>
      <c r="Z13" s="3">
        <v>0.252</v>
      </c>
    </row>
    <row r="14" spans="1:26">
      <c r="A14" t="s">
        <v>211</v>
      </c>
      <c r="B14">
        <v>45</v>
      </c>
      <c r="C14" s="3">
        <v>0.10597500000000004</v>
      </c>
      <c r="D14" s="3">
        <v>0.14408428777659563</v>
      </c>
      <c r="E14" s="3">
        <v>0.34596203413304549</v>
      </c>
      <c r="F14" s="3">
        <v>0.16705684920922526</v>
      </c>
      <c r="G14" s="65">
        <v>1.0495777988433901</v>
      </c>
      <c r="H14" s="65">
        <v>1.277280094823728</v>
      </c>
      <c r="I14" s="3">
        <v>0.11467043763252945</v>
      </c>
      <c r="J14" s="3">
        <v>0.29189913847162119</v>
      </c>
      <c r="K14" s="3">
        <v>5.5E-2</v>
      </c>
      <c r="L14" s="3">
        <v>0.22436251520240177</v>
      </c>
      <c r="M14" s="3">
        <v>9.8197643578034066E-2</v>
      </c>
      <c r="N14" s="65">
        <v>2.9646568034688325</v>
      </c>
      <c r="O14" s="65">
        <v>1.3599831051822802</v>
      </c>
      <c r="P14" s="65">
        <v>7.8495447372704241</v>
      </c>
      <c r="Q14" s="65">
        <v>9.7338715959223006</v>
      </c>
      <c r="R14" s="65">
        <v>3.189256369070784</v>
      </c>
      <c r="S14" s="65">
        <v>15.731797108797148</v>
      </c>
      <c r="T14" s="3">
        <v>0.18212892955536489</v>
      </c>
      <c r="U14" s="3">
        <v>4.5278882463038071E-3</v>
      </c>
      <c r="V14" s="3">
        <v>4.6787426076227899E-2</v>
      </c>
      <c r="W14" s="3">
        <v>0.72991700253868219</v>
      </c>
      <c r="X14" s="3">
        <v>0.32728776839603557</v>
      </c>
      <c r="Y14" s="3">
        <v>0.12953963876691149</v>
      </c>
      <c r="Z14" s="3">
        <v>0.24879999999999999</v>
      </c>
    </row>
    <row r="15" spans="1:26">
      <c r="A15" t="s">
        <v>212</v>
      </c>
      <c r="B15">
        <v>164</v>
      </c>
      <c r="C15" s="3">
        <v>8.4642800000000004E-2</v>
      </c>
      <c r="D15" s="3">
        <v>0.10286682996913346</v>
      </c>
      <c r="E15" s="3">
        <v>0.23990816674375973</v>
      </c>
      <c r="F15" s="3">
        <v>9.426309087876697E-2</v>
      </c>
      <c r="G15" s="65">
        <v>0.97086897293920182</v>
      </c>
      <c r="H15" s="65">
        <v>1.1709200204529924</v>
      </c>
      <c r="I15" s="3">
        <v>0.10835264921490775</v>
      </c>
      <c r="J15" s="3">
        <v>0.45782493709706812</v>
      </c>
      <c r="K15" s="3">
        <v>5.5E-2</v>
      </c>
      <c r="L15" s="3">
        <v>0.21552515508878373</v>
      </c>
      <c r="M15" s="3">
        <v>9.3890340335996511E-2</v>
      </c>
      <c r="N15" s="65">
        <v>2.8046731724829046</v>
      </c>
      <c r="O15" s="65">
        <v>2.0548295737776865</v>
      </c>
      <c r="P15" s="65">
        <v>13.178267269008741</v>
      </c>
      <c r="Q15" s="65">
        <v>21.791313120550598</v>
      </c>
      <c r="R15" s="65">
        <v>3.9002335521700227</v>
      </c>
      <c r="S15" s="65">
        <v>33.719939757949462</v>
      </c>
      <c r="T15" s="3">
        <v>0.13038697382193254</v>
      </c>
      <c r="U15" s="3">
        <v>3.4450903020820478E-3</v>
      </c>
      <c r="V15" s="3">
        <v>5.7187561277203862E-2</v>
      </c>
      <c r="W15" s="3">
        <v>1.0203838316554499</v>
      </c>
      <c r="X15" s="3">
        <v>0.12850428149482823</v>
      </c>
      <c r="Y15" s="3">
        <v>0.28225571869971045</v>
      </c>
      <c r="Z15" s="3">
        <v>0.42409999999999998</v>
      </c>
    </row>
    <row r="16" spans="1:26">
      <c r="A16" t="s">
        <v>213</v>
      </c>
      <c r="B16">
        <v>10</v>
      </c>
      <c r="C16" s="3">
        <v>0.20048888888888888</v>
      </c>
      <c r="D16" s="3">
        <v>0.20987284577354884</v>
      </c>
      <c r="E16" s="3">
        <v>0.12126078877676111</v>
      </c>
      <c r="F16" s="3">
        <v>0.21948943063387358</v>
      </c>
      <c r="G16" s="65">
        <v>0.69557688257994688</v>
      </c>
      <c r="H16" s="65">
        <v>1.2551641961018303</v>
      </c>
      <c r="I16" s="3">
        <v>0.11335675324844872</v>
      </c>
      <c r="J16" s="3">
        <v>0.25406917505650006</v>
      </c>
      <c r="K16" s="3">
        <v>5.5E-2</v>
      </c>
      <c r="L16" s="3">
        <v>0.51752783876705177</v>
      </c>
      <c r="M16" s="3">
        <v>7.6039501079269961E-2</v>
      </c>
      <c r="N16" s="65">
        <v>0.79548722095114122</v>
      </c>
      <c r="O16" s="65">
        <v>2.4271351695921024</v>
      </c>
      <c r="P16" s="65">
        <v>7.388341366320442</v>
      </c>
      <c r="Q16" s="65">
        <v>12.434965607445452</v>
      </c>
      <c r="R16" s="65">
        <v>2.0421096097889047</v>
      </c>
      <c r="S16" s="65">
        <v>11.031811598705742</v>
      </c>
      <c r="T16" s="3">
        <v>5.9344318007066689E-3</v>
      </c>
      <c r="U16" s="3">
        <v>-1.74479403422238E-2</v>
      </c>
      <c r="V16" s="3">
        <v>-4.8655848776094279E-3</v>
      </c>
      <c r="W16" s="3">
        <v>1.5184488206219843E-2</v>
      </c>
      <c r="X16" s="3">
        <v>0.12137565446376083</v>
      </c>
      <c r="Y16" s="3">
        <v>0.29050659083570779</v>
      </c>
      <c r="Z16" s="3">
        <v>0.43099999999999999</v>
      </c>
    </row>
    <row r="17" spans="1:26">
      <c r="A17" t="s">
        <v>214</v>
      </c>
      <c r="B17">
        <v>38</v>
      </c>
      <c r="C17" s="3">
        <v>0.2702</v>
      </c>
      <c r="D17" s="3">
        <v>0.13465174696461524</v>
      </c>
      <c r="E17" s="3">
        <v>0.25379383032265024</v>
      </c>
      <c r="F17" s="3">
        <v>9.8288916826142728E-2</v>
      </c>
      <c r="G17" s="65">
        <v>0.91546895366287806</v>
      </c>
      <c r="H17" s="65">
        <v>1.2471014770997904</v>
      </c>
      <c r="I17" s="3">
        <v>0.11287782773972756</v>
      </c>
      <c r="J17" s="3">
        <v>0.46579004421759862</v>
      </c>
      <c r="K17" s="3">
        <v>5.5E-2</v>
      </c>
      <c r="L17" s="3">
        <v>0.32569374593561318</v>
      </c>
      <c r="M17" s="3">
        <v>8.9549092209944864E-2</v>
      </c>
      <c r="N17" s="65">
        <v>2.140539561734049</v>
      </c>
      <c r="O17" s="65">
        <v>0.88799068286034366</v>
      </c>
      <c r="P17" s="65">
        <v>4.9188627149294541</v>
      </c>
      <c r="Q17" s="65">
        <v>6.6585566466995108</v>
      </c>
      <c r="R17" s="65">
        <v>1.9406925746228572</v>
      </c>
      <c r="S17" s="65">
        <v>9.9507720825302446</v>
      </c>
      <c r="T17" s="3">
        <v>0.13501869928478144</v>
      </c>
      <c r="U17" s="3">
        <v>3.1644256342847926E-2</v>
      </c>
      <c r="V17" s="3">
        <v>5.2585156771289575E-2</v>
      </c>
      <c r="W17" s="3">
        <v>0.58551539662885521</v>
      </c>
      <c r="X17" s="3">
        <v>0.34777022369023014</v>
      </c>
      <c r="Y17" s="3">
        <v>0.27395285947542003</v>
      </c>
      <c r="Z17" s="3">
        <v>3.0999999999999999E-3</v>
      </c>
    </row>
    <row r="18" spans="1:26">
      <c r="A18" t="s">
        <v>215</v>
      </c>
      <c r="B18">
        <v>4</v>
      </c>
      <c r="C18" s="3">
        <v>1.7524999999999995E-2</v>
      </c>
      <c r="D18" s="3">
        <v>0.1394563973742651</v>
      </c>
      <c r="E18" s="3">
        <v>0.20349837596065587</v>
      </c>
      <c r="F18" s="3">
        <v>0.12024424146819795</v>
      </c>
      <c r="G18" s="65">
        <v>0.98314004191332871</v>
      </c>
      <c r="H18" s="65">
        <v>1.4125912305600932</v>
      </c>
      <c r="I18" s="3">
        <v>0.12270791909526954</v>
      </c>
      <c r="J18" s="3">
        <v>0.39493176140036279</v>
      </c>
      <c r="K18" s="3">
        <v>5.5E-2</v>
      </c>
      <c r="L18" s="3">
        <v>0.36805699288839216</v>
      </c>
      <c r="M18" s="3">
        <v>9.2726762346118707E-2</v>
      </c>
      <c r="N18" s="65">
        <v>1.696073044152786</v>
      </c>
      <c r="O18" s="65">
        <v>0.91038112399398097</v>
      </c>
      <c r="P18" s="65">
        <v>5.0157178614705851</v>
      </c>
      <c r="Q18" s="65">
        <v>6.7070116425908575</v>
      </c>
      <c r="R18" s="65">
        <v>1.8892572990056375</v>
      </c>
      <c r="S18" s="65">
        <v>4.9136350366529671</v>
      </c>
      <c r="T18" s="3">
        <v>0.14468858429825437</v>
      </c>
      <c r="U18" s="3">
        <v>2.3919844159355344E-2</v>
      </c>
      <c r="V18" s="3">
        <v>4.0905351903938969E-4</v>
      </c>
      <c r="W18" s="3">
        <v>0.23180043531608446</v>
      </c>
      <c r="X18" s="3">
        <v>0.43436231081579907</v>
      </c>
      <c r="Y18" s="3">
        <v>0.14606681893025975</v>
      </c>
      <c r="Z18" s="3">
        <v>0.43959999999999999</v>
      </c>
    </row>
    <row r="19" spans="1:26">
      <c r="A19" t="s">
        <v>216</v>
      </c>
      <c r="B19">
        <v>76</v>
      </c>
      <c r="C19" s="3">
        <v>9.4822448979591842E-2</v>
      </c>
      <c r="D19" s="3">
        <v>0.1689863794537855</v>
      </c>
      <c r="E19" s="3">
        <v>0.17826252008578738</v>
      </c>
      <c r="F19" s="3">
        <v>0.10749764638974661</v>
      </c>
      <c r="G19" s="65">
        <v>1.0595274025492285</v>
      </c>
      <c r="H19" s="65">
        <v>1.2772947079305697</v>
      </c>
      <c r="I19" s="3">
        <v>0.11467130565107583</v>
      </c>
      <c r="J19" s="3">
        <v>0.42320469092143559</v>
      </c>
      <c r="K19" s="3">
        <v>5.5E-2</v>
      </c>
      <c r="L19" s="3">
        <v>0.21509733288408953</v>
      </c>
      <c r="M19" s="3">
        <v>9.8878578628661895E-2</v>
      </c>
      <c r="N19" s="65">
        <v>1.300382837279803</v>
      </c>
      <c r="O19" s="65">
        <v>2.4784833446872629</v>
      </c>
      <c r="P19" s="65">
        <v>10.530080416847145</v>
      </c>
      <c r="Q19" s="65">
        <v>16.533152933135522</v>
      </c>
      <c r="R19" s="65">
        <v>2.8296016487864555</v>
      </c>
      <c r="S19" s="65">
        <v>34.725527646029491</v>
      </c>
      <c r="T19" s="3">
        <v>0.22710714698009443</v>
      </c>
      <c r="U19" s="3">
        <v>2.3084996958236067E-2</v>
      </c>
      <c r="V19" s="3">
        <v>6.2155489180958312E-2</v>
      </c>
      <c r="W19" s="3">
        <v>0.9187162005119015</v>
      </c>
      <c r="X19" s="3">
        <v>0.11428570397103884</v>
      </c>
      <c r="Y19" s="3">
        <v>0.40462475653279661</v>
      </c>
      <c r="Z19" s="3">
        <v>0.2903</v>
      </c>
    </row>
    <row r="20" spans="1:26">
      <c r="A20" t="s">
        <v>217</v>
      </c>
      <c r="B20">
        <v>19</v>
      </c>
      <c r="C20" s="3">
        <v>-3.7148999999999988E-2</v>
      </c>
      <c r="D20" s="3">
        <v>0.23497647211007383</v>
      </c>
      <c r="E20" s="3">
        <v>0.417859281998402</v>
      </c>
      <c r="F20" s="3">
        <v>2.2762442840657152E-2</v>
      </c>
      <c r="G20" s="65">
        <v>1.2488463702749251</v>
      </c>
      <c r="H20" s="65">
        <v>1.4521788818808701</v>
      </c>
      <c r="I20" s="3">
        <v>0.12505942558372368</v>
      </c>
      <c r="J20" s="3">
        <v>0.61956739404999339</v>
      </c>
      <c r="K20" s="3">
        <v>5.8800000000000005E-2</v>
      </c>
      <c r="L20" s="3">
        <v>0.17836697027388981</v>
      </c>
      <c r="M20" s="3">
        <v>0.11061893812724044</v>
      </c>
      <c r="N20" s="65">
        <v>1.9144649709284169</v>
      </c>
      <c r="O20" s="65">
        <v>1.4317347621068663</v>
      </c>
      <c r="P20" s="65">
        <v>3.8137225981171055</v>
      </c>
      <c r="Q20" s="65">
        <v>5.3134978918000479</v>
      </c>
      <c r="R20" s="65">
        <v>2.45757981722153</v>
      </c>
      <c r="S20" s="65">
        <v>70.10021734645936</v>
      </c>
      <c r="T20" s="3">
        <v>7.193329766827207E-2</v>
      </c>
      <c r="U20" s="3">
        <v>-7.1878003963649864E-2</v>
      </c>
      <c r="V20" s="3">
        <v>1.340816712569722E-2</v>
      </c>
      <c r="W20" s="3">
        <v>0.16330024899958975</v>
      </c>
      <c r="X20" s="3">
        <v>0.74083903025233333</v>
      </c>
      <c r="Y20" s="3">
        <v>0.20433717791215913</v>
      </c>
      <c r="Z20" s="3">
        <v>2.8899999999999999E-2</v>
      </c>
    </row>
    <row r="21" spans="1:26">
      <c r="A21" t="s">
        <v>218</v>
      </c>
      <c r="B21">
        <v>80</v>
      </c>
      <c r="C21" s="3">
        <v>0.10479307692307695</v>
      </c>
      <c r="D21" s="3">
        <v>7.4454295074469323E-2</v>
      </c>
      <c r="E21" s="3">
        <v>0.28393181700102466</v>
      </c>
      <c r="F21" s="3">
        <v>6.4707619952578926E-2</v>
      </c>
      <c r="G21" s="65">
        <v>0.94146068254853232</v>
      </c>
      <c r="H21" s="65">
        <v>1.1713869322889647</v>
      </c>
      <c r="I21" s="3">
        <v>0.10838038377796451</v>
      </c>
      <c r="J21" s="3">
        <v>0.47775300169020696</v>
      </c>
      <c r="K21" s="3">
        <v>5.5E-2</v>
      </c>
      <c r="L21" s="3">
        <v>0.24564199162920453</v>
      </c>
      <c r="M21" s="3">
        <v>9.1890342607912456E-2</v>
      </c>
      <c r="N21" s="65">
        <v>4.362127057694285</v>
      </c>
      <c r="O21" s="65">
        <v>1.1705516509622818</v>
      </c>
      <c r="P21" s="65">
        <v>10.563161623441127</v>
      </c>
      <c r="Q21" s="65">
        <v>16.723392422877364</v>
      </c>
      <c r="R21" s="65">
        <v>4.0327297094633501</v>
      </c>
      <c r="S21" s="65">
        <v>16.826618008820372</v>
      </c>
      <c r="T21" s="3">
        <v>0.15591437376823686</v>
      </c>
      <c r="U21" s="3">
        <v>-1.3398434376508724E-3</v>
      </c>
      <c r="V21" s="3">
        <v>-2.2074387017581819E-3</v>
      </c>
      <c r="W21" s="3">
        <v>0.30657294945631369</v>
      </c>
      <c r="X21" s="3">
        <v>0.12149230128546304</v>
      </c>
      <c r="Y21" s="3">
        <v>0.93582785276917213</v>
      </c>
      <c r="Z21" s="3">
        <v>0.2833</v>
      </c>
    </row>
    <row r="22" spans="1:26">
      <c r="A22" t="s">
        <v>219</v>
      </c>
      <c r="B22">
        <v>42</v>
      </c>
      <c r="C22" s="3">
        <v>0.16357148148148148</v>
      </c>
      <c r="D22" s="3">
        <v>0.23124468429759559</v>
      </c>
      <c r="E22" s="3">
        <v>0.42627570781813673</v>
      </c>
      <c r="F22" s="3">
        <v>9.1326261969354353E-2</v>
      </c>
      <c r="G22" s="65">
        <v>1.2050233084823772</v>
      </c>
      <c r="H22" s="65">
        <v>1.2910863648381774</v>
      </c>
      <c r="I22" s="3">
        <v>0.11549053007138774</v>
      </c>
      <c r="J22" s="3">
        <v>0.48725444355956743</v>
      </c>
      <c r="K22" s="3">
        <v>5.5E-2</v>
      </c>
      <c r="L22" s="3">
        <v>8.6947263270185773E-2</v>
      </c>
      <c r="M22" s="3">
        <v>0.10903551915795263</v>
      </c>
      <c r="N22" s="65">
        <v>2.1239631951163802</v>
      </c>
      <c r="O22" s="65">
        <v>3.6675154478583059</v>
      </c>
      <c r="P22" s="65">
        <v>14.733525349856887</v>
      </c>
      <c r="Q22" s="65">
        <v>17.080897524012034</v>
      </c>
      <c r="R22" s="65">
        <v>25.561397089337795</v>
      </c>
      <c r="S22" s="65">
        <v>60.37198607537146</v>
      </c>
      <c r="T22" s="3">
        <v>-8.7617856695005242E-2</v>
      </c>
      <c r="U22" s="3">
        <v>1.7043799815278755E-3</v>
      </c>
      <c r="V22" s="3">
        <v>1.8160239754402271E-2</v>
      </c>
      <c r="W22" s="3">
        <v>6.2749973873893805E-2</v>
      </c>
      <c r="X22" s="3">
        <v>0.9626017835927464</v>
      </c>
      <c r="Y22" s="3">
        <v>0.16947356652480433</v>
      </c>
      <c r="Z22" s="3">
        <v>0.2351</v>
      </c>
    </row>
    <row r="23" spans="1:26">
      <c r="A23" t="s">
        <v>220</v>
      </c>
      <c r="B23">
        <v>49</v>
      </c>
      <c r="C23" s="3">
        <v>5.0167812500000013E-2</v>
      </c>
      <c r="D23" s="3">
        <v>0.1182097495553244</v>
      </c>
      <c r="E23" s="3">
        <v>0.1454747413376444</v>
      </c>
      <c r="F23" s="3">
        <v>0.10517907237686368</v>
      </c>
      <c r="G23" s="65">
        <v>1.0313626295227094</v>
      </c>
      <c r="H23" s="65">
        <v>1.2643960028602219</v>
      </c>
      <c r="I23" s="3">
        <v>0.11390512256989718</v>
      </c>
      <c r="J23" s="3">
        <v>0.35111645283882109</v>
      </c>
      <c r="K23" s="3">
        <v>5.5E-2</v>
      </c>
      <c r="L23" s="3">
        <v>0.23151570788836295</v>
      </c>
      <c r="M23" s="3">
        <v>9.7084320436411659E-2</v>
      </c>
      <c r="N23" s="65">
        <v>1.4171828125823143</v>
      </c>
      <c r="O23" s="65">
        <v>2.149130072951404</v>
      </c>
      <c r="P23" s="65">
        <v>12.934160671927692</v>
      </c>
      <c r="Q23" s="65">
        <v>18.749409005666379</v>
      </c>
      <c r="R23" s="65">
        <v>3.6559134287335295</v>
      </c>
      <c r="S23" s="65">
        <v>23.670176577905639</v>
      </c>
      <c r="T23" s="3">
        <v>0.20313324960220644</v>
      </c>
      <c r="U23" s="3">
        <v>1.963238854994992E-2</v>
      </c>
      <c r="V23" s="3">
        <v>6.0397175441397173E-2</v>
      </c>
      <c r="W23" s="3">
        <v>1.1390269734410299</v>
      </c>
      <c r="X23" s="3">
        <v>0.18776605314361972</v>
      </c>
      <c r="Y23" s="3">
        <v>0.32155652013128733</v>
      </c>
      <c r="Z23" s="3">
        <v>0.44479999999999997</v>
      </c>
    </row>
    <row r="24" spans="1:26">
      <c r="A24" t="s">
        <v>221</v>
      </c>
      <c r="B24">
        <v>23</v>
      </c>
      <c r="C24" s="3">
        <v>7.6920000000000002E-2</v>
      </c>
      <c r="D24" s="3">
        <v>3.6277316088771119E-2</v>
      </c>
      <c r="E24" s="3">
        <v>2.8451413775521742E-2</v>
      </c>
      <c r="F24" s="3">
        <v>2.9800285457986134E-2</v>
      </c>
      <c r="G24" s="65">
        <v>0.89558484386365433</v>
      </c>
      <c r="H24" s="65">
        <v>1.0382284747790869</v>
      </c>
      <c r="I24" s="3">
        <v>0.10047077140187777</v>
      </c>
      <c r="J24" s="3">
        <v>0.57844438730746484</v>
      </c>
      <c r="K24" s="3">
        <v>5.8800000000000005E-2</v>
      </c>
      <c r="L24" s="3">
        <v>0.17516637526737888</v>
      </c>
      <c r="M24" s="3">
        <v>9.0596507704384821E-2</v>
      </c>
      <c r="N24" s="65">
        <v>0.80913558522031659</v>
      </c>
      <c r="O24" s="65">
        <v>2.497073337847707</v>
      </c>
      <c r="P24" s="65">
        <v>30.955109543804362</v>
      </c>
      <c r="Q24" s="65">
        <v>69.441093859764692</v>
      </c>
      <c r="R24" s="65">
        <v>1.8458984878571658</v>
      </c>
      <c r="S24" s="65">
        <v>14.458344682654587</v>
      </c>
      <c r="T24" s="3">
        <v>7.6139744625110986E-2</v>
      </c>
      <c r="U24" s="3">
        <v>2.9695392039296772E-2</v>
      </c>
      <c r="V24" s="3">
        <v>2.7621900220592199E-2</v>
      </c>
      <c r="W24" s="3">
        <v>1.7018968838721764</v>
      </c>
      <c r="X24" s="3">
        <v>8.2496001271177635E-3</v>
      </c>
      <c r="Y24" s="3">
        <v>1.5067793894620867</v>
      </c>
      <c r="Z24" s="3">
        <v>0.50080000000000002</v>
      </c>
    </row>
    <row r="25" spans="1:26">
      <c r="A25" t="s">
        <v>222</v>
      </c>
      <c r="B25">
        <v>598</v>
      </c>
      <c r="C25" s="3">
        <v>0.27230353658536566</v>
      </c>
      <c r="D25" s="3">
        <v>0.18331440384242054</v>
      </c>
      <c r="E25" s="3">
        <v>6.4930486901624035E-2</v>
      </c>
      <c r="F25" s="3">
        <v>9.3669880911142409E-3</v>
      </c>
      <c r="G25" s="65">
        <v>1.1137636210543922</v>
      </c>
      <c r="H25" s="65">
        <v>1.2417422800706084</v>
      </c>
      <c r="I25" s="3">
        <v>0.11255949143619413</v>
      </c>
      <c r="J25" s="3">
        <v>0.58414093308210857</v>
      </c>
      <c r="K25" s="3">
        <v>5.8800000000000005E-2</v>
      </c>
      <c r="L25" s="3">
        <v>0.13285422647907655</v>
      </c>
      <c r="M25" s="3">
        <v>0.10346435865628759</v>
      </c>
      <c r="N25" s="65">
        <v>0.45885725937170108</v>
      </c>
      <c r="O25" s="65">
        <v>6.1848374689664327</v>
      </c>
      <c r="P25" s="65">
        <v>11.029260692823163</v>
      </c>
      <c r="Q25" s="65">
        <v>40.682421818847885</v>
      </c>
      <c r="R25" s="65">
        <v>5.8009721658494318</v>
      </c>
      <c r="S25" s="65">
        <v>113.80317420122032</v>
      </c>
      <c r="T25" s="3">
        <v>0.12996962084632474</v>
      </c>
      <c r="U25" s="3">
        <v>0.37648897569690665</v>
      </c>
      <c r="V25" s="3">
        <v>-2.0551912434212563E-4</v>
      </c>
      <c r="W25" s="3">
        <v>0.40999126936273844</v>
      </c>
      <c r="X25" s="3">
        <v>6.7759078368331621E-3</v>
      </c>
      <c r="Y25" s="3">
        <v>5.6919254543125089E-4</v>
      </c>
      <c r="Z25" s="3">
        <v>0.32019999999999998</v>
      </c>
    </row>
    <row r="26" spans="1:26">
      <c r="A26" t="s">
        <v>223</v>
      </c>
      <c r="B26">
        <v>281</v>
      </c>
      <c r="C26" s="3">
        <v>0.42345633802816912</v>
      </c>
      <c r="D26" s="3">
        <v>0.28867707988483993</v>
      </c>
      <c r="E26" s="3">
        <v>0.19583591126440983</v>
      </c>
      <c r="F26" s="3">
        <v>2.373947361492524E-2</v>
      </c>
      <c r="G26" s="65">
        <v>1.1505188464363174</v>
      </c>
      <c r="H26" s="65">
        <v>1.2680061555196915</v>
      </c>
      <c r="I26" s="3">
        <v>0.11411956563786968</v>
      </c>
      <c r="J26" s="3">
        <v>0.64883553950451733</v>
      </c>
      <c r="K26" s="3">
        <v>5.8800000000000005E-2</v>
      </c>
      <c r="L26" s="3">
        <v>0.11983897594961615</v>
      </c>
      <c r="M26" s="3">
        <v>0.10572849259539045</v>
      </c>
      <c r="N26" s="65">
        <v>0.75386830062989918</v>
      </c>
      <c r="O26" s="65">
        <v>4.8507972602124285</v>
      </c>
      <c r="P26" s="65">
        <v>12.336746475080462</v>
      </c>
      <c r="Q26" s="65">
        <v>17.374965922425169</v>
      </c>
      <c r="R26" s="65">
        <v>5.2822318741793906</v>
      </c>
      <c r="S26" s="65">
        <v>17.765653282813773</v>
      </c>
      <c r="T26" s="3">
        <v>0.19448863395055158</v>
      </c>
      <c r="U26" s="3">
        <v>9.7390612971969506E-2</v>
      </c>
      <c r="V26" s="3">
        <v>2.7328938551878745E-2</v>
      </c>
      <c r="W26" s="3">
        <v>0.23314422056482276</v>
      </c>
      <c r="X26" s="3">
        <v>0.24540189875584534</v>
      </c>
      <c r="Y26" s="3">
        <v>0.51360080179486645</v>
      </c>
      <c r="Z26" s="3">
        <v>0.69179999999999997</v>
      </c>
    </row>
    <row r="27" spans="1:26">
      <c r="A27" t="s">
        <v>224</v>
      </c>
      <c r="B27">
        <v>33</v>
      </c>
      <c r="C27" s="3">
        <v>4.1291875000000006E-2</v>
      </c>
      <c r="D27" s="3">
        <v>8.9217458816525805E-2</v>
      </c>
      <c r="E27" s="3">
        <v>6.7741870602732721E-2</v>
      </c>
      <c r="F27" s="3">
        <v>7.0982357458296813E-2</v>
      </c>
      <c r="G27" s="65">
        <v>0.89528988786443453</v>
      </c>
      <c r="H27" s="65">
        <v>1.1008288893194806</v>
      </c>
      <c r="I27" s="3">
        <v>0.10418923602557716</v>
      </c>
      <c r="J27" s="3">
        <v>0.41812601855058806</v>
      </c>
      <c r="K27" s="3">
        <v>5.5E-2</v>
      </c>
      <c r="L27" s="3">
        <v>0.23436430724796883</v>
      </c>
      <c r="M27" s="3">
        <v>8.943852557572636E-2</v>
      </c>
      <c r="N27" s="65">
        <v>1.2400892015686051</v>
      </c>
      <c r="O27" s="65">
        <v>1.8499312364405511</v>
      </c>
      <c r="P27" s="65">
        <v>9.650215665864085</v>
      </c>
      <c r="Q27" s="65">
        <v>30.359718234591035</v>
      </c>
      <c r="R27" s="65">
        <v>1.8138069812041899</v>
      </c>
      <c r="S27" s="65">
        <v>18.213402559297673</v>
      </c>
      <c r="T27" s="3">
        <v>7.9575056602342875E-2</v>
      </c>
      <c r="U27" s="3">
        <v>2.6957645691001734E-2</v>
      </c>
      <c r="V27" s="3">
        <v>9.2404200428598995E-2</v>
      </c>
      <c r="W27" s="3">
        <v>3.5636046330701983</v>
      </c>
      <c r="X27" s="3">
        <v>3.1900714568291952E-2</v>
      </c>
      <c r="Y27" s="3">
        <v>0.17439258095206728</v>
      </c>
      <c r="Z27" s="3">
        <v>1.0733999999999999</v>
      </c>
    </row>
    <row r="28" spans="1:26">
      <c r="A28" t="s">
        <v>225</v>
      </c>
      <c r="B28">
        <v>110</v>
      </c>
      <c r="C28" s="3">
        <v>0.13897499999999999</v>
      </c>
      <c r="D28" s="3">
        <v>0.1160676946911678</v>
      </c>
      <c r="E28" s="3">
        <v>0.1840328456371863</v>
      </c>
      <c r="F28" s="3">
        <v>4.468854824762538E-2</v>
      </c>
      <c r="G28" s="65">
        <v>1.3599881180140871</v>
      </c>
      <c r="H28" s="65">
        <v>1.5896686619511227</v>
      </c>
      <c r="I28" s="3">
        <v>0.13322631851989669</v>
      </c>
      <c r="J28" s="3">
        <v>0.58554859436634488</v>
      </c>
      <c r="K28" s="3">
        <v>5.8800000000000005E-2</v>
      </c>
      <c r="L28" s="3">
        <v>0.18379271640117503</v>
      </c>
      <c r="M28" s="3">
        <v>0.11684555033628852</v>
      </c>
      <c r="N28" s="65">
        <v>1.784175397261031</v>
      </c>
      <c r="O28" s="65">
        <v>2.7669115666624866</v>
      </c>
      <c r="P28" s="65">
        <v>12.687782652021538</v>
      </c>
      <c r="Q28" s="65">
        <v>22.717789944737529</v>
      </c>
      <c r="R28" s="65">
        <v>3.1311439640496568</v>
      </c>
      <c r="S28" s="65">
        <v>50.350247851678539</v>
      </c>
      <c r="T28" s="3">
        <v>0.25546598517273594</v>
      </c>
      <c r="U28" s="3">
        <v>4.4920461042954572E-2</v>
      </c>
      <c r="V28" s="3">
        <v>0.14996801054437855</v>
      </c>
      <c r="W28" s="3">
        <v>2.7928575511304214</v>
      </c>
      <c r="X28" s="3">
        <v>0.13203099340958588</v>
      </c>
      <c r="Y28" s="3">
        <v>0.34460454633292631</v>
      </c>
      <c r="Z28" s="3">
        <v>0.44319999999999998</v>
      </c>
    </row>
    <row r="29" spans="1:26">
      <c r="A29" t="s">
        <v>226</v>
      </c>
      <c r="B29">
        <v>16</v>
      </c>
      <c r="C29" s="3">
        <v>-4.7299999999999972E-3</v>
      </c>
      <c r="D29" s="3">
        <v>5.173098396915015E-2</v>
      </c>
      <c r="E29" s="3">
        <v>5.4638914455599978E-2</v>
      </c>
      <c r="F29" s="3">
        <v>3.9839422941665745E-2</v>
      </c>
      <c r="G29" s="65">
        <v>1.3698664833253236</v>
      </c>
      <c r="H29" s="65">
        <v>1.5389191240889379</v>
      </c>
      <c r="I29" s="3">
        <v>0.13021179597088292</v>
      </c>
      <c r="J29" s="3">
        <v>0.39564713245016608</v>
      </c>
      <c r="K29" s="3">
        <v>5.5E-2</v>
      </c>
      <c r="L29" s="3">
        <v>0.14129490331068803</v>
      </c>
      <c r="M29" s="3">
        <v>0.11764194761083187</v>
      </c>
      <c r="N29" s="65">
        <v>2.2252934810205893</v>
      </c>
      <c r="O29" s="65">
        <v>0.77629031014858285</v>
      </c>
      <c r="P29" s="65">
        <v>10.434016718178196</v>
      </c>
      <c r="Q29" s="65">
        <v>27.827755671946431</v>
      </c>
      <c r="R29" s="65">
        <v>1.8651208939219588</v>
      </c>
      <c r="S29" s="65">
        <v>78.606221340129167</v>
      </c>
      <c r="T29" s="3">
        <v>0.13681325152347834</v>
      </c>
      <c r="U29" s="3">
        <v>9.7431464416019315E-3</v>
      </c>
      <c r="V29" s="3">
        <v>2.4097951690066212E-2</v>
      </c>
      <c r="W29" s="3">
        <v>4.4829804695730449</v>
      </c>
      <c r="X29" s="3">
        <v>1.2750302661478806E-2</v>
      </c>
      <c r="Y29" s="3">
        <v>0</v>
      </c>
      <c r="Z29" s="3">
        <v>0.1802</v>
      </c>
    </row>
    <row r="30" spans="1:26">
      <c r="A30" t="s">
        <v>227</v>
      </c>
      <c r="B30">
        <v>138</v>
      </c>
      <c r="C30" s="3">
        <v>0.106349294117647</v>
      </c>
      <c r="D30" s="3">
        <v>0.11113971446936521</v>
      </c>
      <c r="E30" s="3">
        <v>0.17474664762348024</v>
      </c>
      <c r="F30" s="3">
        <v>6.2906519672550273E-2</v>
      </c>
      <c r="G30" s="65">
        <v>1.0527011334089542</v>
      </c>
      <c r="H30" s="65">
        <v>1.2012527647557136</v>
      </c>
      <c r="I30" s="3">
        <v>0.11015441422648939</v>
      </c>
      <c r="J30" s="3">
        <v>0.449375866701406</v>
      </c>
      <c r="K30" s="3">
        <v>5.5E-2</v>
      </c>
      <c r="L30" s="3">
        <v>0.15835752834031197</v>
      </c>
      <c r="M30" s="3">
        <v>9.9242881497845506E-2</v>
      </c>
      <c r="N30" s="65">
        <v>1.8293533131914423</v>
      </c>
      <c r="O30" s="65">
        <v>1.9376194589256814</v>
      </c>
      <c r="P30" s="65">
        <v>11.91629375511652</v>
      </c>
      <c r="Q30" s="65">
        <v>19.249574240444776</v>
      </c>
      <c r="R30" s="65">
        <v>3.0614854022412756</v>
      </c>
      <c r="S30" s="65">
        <v>58.252171064461706</v>
      </c>
      <c r="T30" s="3">
        <v>0.22422007253520718</v>
      </c>
      <c r="U30" s="3">
        <v>4.2450641137758337E-2</v>
      </c>
      <c r="V30" s="3">
        <v>0.13580448309031176</v>
      </c>
      <c r="W30" s="3">
        <v>2.2341279690386662</v>
      </c>
      <c r="X30" s="3">
        <v>0.12417520019293474</v>
      </c>
      <c r="Y30" s="3">
        <v>0.10608878216021826</v>
      </c>
      <c r="Z30" s="3">
        <v>0.19950000000000001</v>
      </c>
    </row>
    <row r="31" spans="1:26">
      <c r="A31" t="s">
        <v>228</v>
      </c>
      <c r="B31">
        <v>43</v>
      </c>
      <c r="C31" s="3">
        <v>0.12138344827586202</v>
      </c>
      <c r="D31" s="3">
        <v>4.8687829336311904E-2</v>
      </c>
      <c r="E31" s="3">
        <v>0.13834621712937481</v>
      </c>
      <c r="F31" s="3">
        <v>0.13296156731028333</v>
      </c>
      <c r="G31" s="65">
        <v>0.96751888485322912</v>
      </c>
      <c r="H31" s="65">
        <v>1.1967640138319908</v>
      </c>
      <c r="I31" s="3">
        <v>0.10988778242162026</v>
      </c>
      <c r="J31" s="3">
        <v>0.35166848143953711</v>
      </c>
      <c r="K31" s="3">
        <v>5.5E-2</v>
      </c>
      <c r="L31" s="3">
        <v>0.24007634301961103</v>
      </c>
      <c r="M31" s="3">
        <v>9.3409474624861932E-2</v>
      </c>
      <c r="N31" s="65">
        <v>3.3988532052232561</v>
      </c>
      <c r="O31" s="65">
        <v>1.0830755880289851</v>
      </c>
      <c r="P31" s="65">
        <v>13.169580718377542</v>
      </c>
      <c r="Q31" s="65">
        <v>22.987280318509931</v>
      </c>
      <c r="R31" s="65">
        <v>2.8181860701948733</v>
      </c>
      <c r="S31" s="65">
        <v>29.062594674781394</v>
      </c>
      <c r="T31" s="3">
        <v>0.2001452260073408</v>
      </c>
      <c r="U31" s="3">
        <v>0.10319245357384162</v>
      </c>
      <c r="V31" s="3">
        <v>7.9250168173978799E-2</v>
      </c>
      <c r="W31" s="3">
        <v>3.0078308821485669</v>
      </c>
      <c r="X31" s="3">
        <v>7.4957882083190208E-2</v>
      </c>
      <c r="Y31" s="3">
        <v>0.16885746296448992</v>
      </c>
      <c r="Z31" s="3">
        <v>0.45540000000000003</v>
      </c>
    </row>
    <row r="32" spans="1:26">
      <c r="A32" t="s">
        <v>229</v>
      </c>
      <c r="B32">
        <v>110</v>
      </c>
      <c r="C32" s="3">
        <v>0.28593124999999997</v>
      </c>
      <c r="D32" s="3">
        <v>9.9132858828835962E-2</v>
      </c>
      <c r="E32" s="3">
        <v>0.11234825527684747</v>
      </c>
      <c r="F32" s="3">
        <v>3.4485773715445603E-2</v>
      </c>
      <c r="G32" s="65">
        <v>1.1602037973929984</v>
      </c>
      <c r="H32" s="65">
        <v>1.4497950169593838</v>
      </c>
      <c r="I32" s="3">
        <v>0.12491782400738741</v>
      </c>
      <c r="J32" s="3">
        <v>0.578095571351251</v>
      </c>
      <c r="K32" s="3">
        <v>5.8800000000000005E-2</v>
      </c>
      <c r="L32" s="3">
        <v>0.24970269532215986</v>
      </c>
      <c r="M32" s="3">
        <v>0.10473739552267081</v>
      </c>
      <c r="N32" s="65">
        <v>1.4645754612679325</v>
      </c>
      <c r="O32" s="65">
        <v>3.0598123732084623</v>
      </c>
      <c r="P32" s="65">
        <v>17.462187520735604</v>
      </c>
      <c r="Q32" s="65">
        <v>39.959071499427878</v>
      </c>
      <c r="R32" s="65">
        <v>2.2249313608537848</v>
      </c>
      <c r="S32" s="65">
        <v>47.736718632185095</v>
      </c>
      <c r="T32" s="3">
        <v>4.1918182350946673E-2</v>
      </c>
      <c r="U32" s="3">
        <v>2.8005982797696055E-3</v>
      </c>
      <c r="V32" s="3">
        <v>-4.9793033469523688E-3</v>
      </c>
      <c r="W32" s="3">
        <v>4.0500248906133907E-2</v>
      </c>
      <c r="X32" s="3">
        <v>1.1812232323271436E-2</v>
      </c>
      <c r="Y32" s="3">
        <v>0.50420530039623501</v>
      </c>
      <c r="Z32" s="3">
        <v>0.27510000000000001</v>
      </c>
    </row>
    <row r="33" spans="1:26">
      <c r="A33" t="s">
        <v>230</v>
      </c>
      <c r="B33">
        <v>62</v>
      </c>
      <c r="C33" s="3">
        <v>0.10134039999999998</v>
      </c>
      <c r="D33" s="3">
        <v>0.13245480718111582</v>
      </c>
      <c r="E33" s="3">
        <v>0.28322287490094245</v>
      </c>
      <c r="F33" s="3">
        <v>5.4211005912351659E-2</v>
      </c>
      <c r="G33" s="65">
        <v>0.85214037751646321</v>
      </c>
      <c r="H33" s="65">
        <v>1.0153454106826958</v>
      </c>
      <c r="I33" s="3">
        <v>9.9111517394552123E-2</v>
      </c>
      <c r="J33" s="3">
        <v>0.48087346767746236</v>
      </c>
      <c r="K33" s="3">
        <v>5.5E-2</v>
      </c>
      <c r="L33" s="3">
        <v>0.20341883913216277</v>
      </c>
      <c r="M33" s="3">
        <v>8.7341394695726882E-2</v>
      </c>
      <c r="N33" s="65">
        <v>2.3308722386849454</v>
      </c>
      <c r="O33" s="65">
        <v>3.0346407791089263</v>
      </c>
      <c r="P33" s="65">
        <v>14.022412125338205</v>
      </c>
      <c r="Q33" s="65">
        <v>23.388429760710196</v>
      </c>
      <c r="R33" s="65">
        <v>5.2920408951648428</v>
      </c>
      <c r="S33" s="65">
        <v>76.987307293928026</v>
      </c>
      <c r="T33" s="3">
        <v>0.10044659986151996</v>
      </c>
      <c r="U33" s="3">
        <v>2.8259328543857452E-2</v>
      </c>
      <c r="V33" s="3">
        <v>9.6284714664775034E-2</v>
      </c>
      <c r="W33" s="3">
        <v>1.1007779432771518</v>
      </c>
      <c r="X33" s="3">
        <v>0.16473874687290124</v>
      </c>
      <c r="Y33" s="3">
        <v>0.46259054584477655</v>
      </c>
      <c r="Z33" s="3">
        <v>0.73899999999999999</v>
      </c>
    </row>
    <row r="34" spans="1:26">
      <c r="A34" t="s">
        <v>231</v>
      </c>
      <c r="B34">
        <v>39</v>
      </c>
      <c r="C34" s="3">
        <v>0.17570944444444442</v>
      </c>
      <c r="D34" s="3">
        <v>7.8396783424508024E-2</v>
      </c>
      <c r="E34" s="3">
        <v>0.15172833554504575</v>
      </c>
      <c r="F34" s="3">
        <v>6.6354615342110748E-2</v>
      </c>
      <c r="G34" s="65">
        <v>0.90934089639751225</v>
      </c>
      <c r="H34" s="65">
        <v>1.1403135761675725</v>
      </c>
      <c r="I34" s="3">
        <v>0.10653462642435381</v>
      </c>
      <c r="J34" s="3">
        <v>0.54426709586173694</v>
      </c>
      <c r="K34" s="3">
        <v>5.8800000000000005E-2</v>
      </c>
      <c r="L34" s="3">
        <v>0.25298812315410507</v>
      </c>
      <c r="M34" s="3">
        <v>9.0739407465428842E-2</v>
      </c>
      <c r="N34" s="65">
        <v>2.0517765686150211</v>
      </c>
      <c r="O34" s="65">
        <v>1.2248382413417702</v>
      </c>
      <c r="P34" s="65">
        <v>12.608931082460121</v>
      </c>
      <c r="Q34" s="65">
        <v>15.581328911598986</v>
      </c>
      <c r="R34" s="65">
        <v>3.4691348828249016</v>
      </c>
      <c r="S34" s="65">
        <v>22.12057113620223</v>
      </c>
      <c r="T34" s="3">
        <v>0.14828566056749271</v>
      </c>
      <c r="U34" s="3">
        <v>1.3450482592225456E-2</v>
      </c>
      <c r="V34" s="3">
        <v>3.3357535977751228E-2</v>
      </c>
      <c r="W34" s="3">
        <v>1.4678368468897955</v>
      </c>
      <c r="X34" s="3">
        <v>0.23648187908031001</v>
      </c>
      <c r="Y34" s="3">
        <v>0.21028238912969796</v>
      </c>
      <c r="Z34" s="3">
        <v>0.35849999999999999</v>
      </c>
    </row>
    <row r="35" spans="1:26">
      <c r="A35" t="s">
        <v>232</v>
      </c>
      <c r="B35">
        <v>223</v>
      </c>
      <c r="C35" s="3">
        <v>0.1044040579710145</v>
      </c>
      <c r="D35" s="3">
        <v>0.17986911072473213</v>
      </c>
      <c r="E35" s="3">
        <v>6.5375652946372759E-3</v>
      </c>
      <c r="F35" s="3">
        <v>0.14608585547831091</v>
      </c>
      <c r="G35" s="65">
        <v>0.10380029609017566</v>
      </c>
      <c r="H35" s="65">
        <v>0.88572507363771524</v>
      </c>
      <c r="I35" s="3">
        <v>9.1412069374080279E-2</v>
      </c>
      <c r="J35" s="3">
        <v>0.27145306503706762</v>
      </c>
      <c r="K35" s="3">
        <v>5.5E-2</v>
      </c>
      <c r="L35" s="3">
        <v>0.90945279625195319</v>
      </c>
      <c r="M35" s="3">
        <v>4.5792035116038507E-2</v>
      </c>
      <c r="N35" s="65">
        <v>4.716792489213012E-2</v>
      </c>
      <c r="O35" s="65">
        <v>23.486787015859328</v>
      </c>
      <c r="P35" s="65">
        <v>91.880271507963911</v>
      </c>
      <c r="Q35" s="65">
        <v>90.630536583768119</v>
      </c>
      <c r="R35" s="65">
        <v>1.6875081521756248</v>
      </c>
      <c r="S35" s="65">
        <v>32.696300598543317</v>
      </c>
      <c r="T35" t="s">
        <v>584</v>
      </c>
      <c r="U35" s="3">
        <v>0.1319795854325862</v>
      </c>
      <c r="V35" s="3">
        <v>3.6372628687447776E-2</v>
      </c>
      <c r="W35" s="3">
        <v>0.21848170755579219</v>
      </c>
      <c r="X35" s="3">
        <v>0.48075065014765694</v>
      </c>
      <c r="Y35" s="3">
        <v>0.13648733467216531</v>
      </c>
      <c r="Z35" s="3">
        <v>0.13780000000000001</v>
      </c>
    </row>
    <row r="36" spans="1:26">
      <c r="A36" t="s">
        <v>233</v>
      </c>
      <c r="B36">
        <v>92</v>
      </c>
      <c r="C36" s="3">
        <v>0.25210224489795913</v>
      </c>
      <c r="D36" s="3">
        <v>0.1224318945408138</v>
      </c>
      <c r="E36" s="3">
        <v>0.1859935447135467</v>
      </c>
      <c r="F36" s="3">
        <v>7.7369309042831444E-2</v>
      </c>
      <c r="G36" s="65">
        <v>0.75427044469926852</v>
      </c>
      <c r="H36" s="65">
        <v>0.91752023311739583</v>
      </c>
      <c r="I36" s="3">
        <v>9.3300701847173317E-2</v>
      </c>
      <c r="J36" s="3">
        <v>0.34228783415433228</v>
      </c>
      <c r="K36" s="3">
        <v>5.5E-2</v>
      </c>
      <c r="L36" s="3">
        <v>0.22395116431995885</v>
      </c>
      <c r="M36" s="3">
        <v>8.1643886564827822E-2</v>
      </c>
      <c r="N36" s="65">
        <v>1.6859815207716935</v>
      </c>
      <c r="O36" s="65">
        <v>2.099541082262578</v>
      </c>
      <c r="P36" s="65">
        <v>13.24274225046033</v>
      </c>
      <c r="Q36" s="65">
        <v>17.401340165255593</v>
      </c>
      <c r="R36" s="65">
        <v>2.6065242636797277</v>
      </c>
      <c r="S36" s="65">
        <v>52.474448865364643</v>
      </c>
      <c r="T36" s="3">
        <v>6.7615070122169982E-2</v>
      </c>
      <c r="U36" s="3">
        <v>2.0938027507652963E-2</v>
      </c>
      <c r="V36" s="3">
        <v>3.7126517592543651E-2</v>
      </c>
      <c r="W36" s="3">
        <v>0.57543721311325657</v>
      </c>
      <c r="X36" s="3">
        <v>0.11538895815608002</v>
      </c>
      <c r="Y36" s="3">
        <v>0.53779059344768942</v>
      </c>
      <c r="Z36" s="3">
        <v>0.4022</v>
      </c>
    </row>
    <row r="37" spans="1:26">
      <c r="A37" t="s">
        <v>234</v>
      </c>
      <c r="B37">
        <v>14</v>
      </c>
      <c r="C37" s="3">
        <v>9.8360000000000003E-2</v>
      </c>
      <c r="D37" s="3">
        <v>2.2374395327284084E-2</v>
      </c>
      <c r="E37" s="3">
        <v>0.15535644943181512</v>
      </c>
      <c r="F37" s="3">
        <v>0.11937255281975857</v>
      </c>
      <c r="G37" s="65">
        <v>0.83474074883466065</v>
      </c>
      <c r="H37" s="65">
        <v>1.1237058272854066</v>
      </c>
      <c r="I37" s="3">
        <v>0.10554812614075315</v>
      </c>
      <c r="J37" s="3">
        <v>0.32418308733551454</v>
      </c>
      <c r="K37" s="3">
        <v>5.5E-2</v>
      </c>
      <c r="L37" s="3">
        <v>0.31580170522329504</v>
      </c>
      <c r="M37" s="3">
        <v>8.5242668262840771E-2</v>
      </c>
      <c r="N37" s="65">
        <v>8.4116413256224369</v>
      </c>
      <c r="O37" s="65">
        <v>0.41461800975807755</v>
      </c>
      <c r="P37" s="65">
        <v>12.015914836847594</v>
      </c>
      <c r="Q37" s="65">
        <v>19.708268616623734</v>
      </c>
      <c r="R37" s="65">
        <v>4.536016224851112</v>
      </c>
      <c r="S37" s="65">
        <v>25.137922065338433</v>
      </c>
      <c r="T37" s="3">
        <v>6.3427895483225208E-2</v>
      </c>
      <c r="U37" s="3">
        <v>2.6125454156993962E-2</v>
      </c>
      <c r="V37" s="3">
        <v>9.0348742574372157E-3</v>
      </c>
      <c r="W37" s="3">
        <v>1.2945984195977063</v>
      </c>
      <c r="X37" s="3">
        <v>0.1898419988361979</v>
      </c>
      <c r="Y37" s="3">
        <v>0.43594516376534403</v>
      </c>
      <c r="Z37" s="3">
        <v>0.76160000000000005</v>
      </c>
    </row>
    <row r="38" spans="1:26">
      <c r="A38" t="s">
        <v>235</v>
      </c>
      <c r="B38">
        <v>32</v>
      </c>
      <c r="C38" s="3">
        <v>0.14448380952380954</v>
      </c>
      <c r="D38" s="3">
        <v>8.5284299572668948E-2</v>
      </c>
      <c r="E38" s="3">
        <v>0.15236680821065973</v>
      </c>
      <c r="F38" s="3">
        <v>0.12672224018253109</v>
      </c>
      <c r="G38" s="65">
        <v>0.89529856028124566</v>
      </c>
      <c r="H38" s="65">
        <v>1.2708955631991046</v>
      </c>
      <c r="I38" s="3">
        <v>0.11429119645402681</v>
      </c>
      <c r="J38" s="3">
        <v>0.41911842205905825</v>
      </c>
      <c r="K38" s="3">
        <v>5.5E-2</v>
      </c>
      <c r="L38" s="3">
        <v>0.35871209353758288</v>
      </c>
      <c r="M38" s="3">
        <v>8.8090435959512978E-2</v>
      </c>
      <c r="N38" s="65">
        <v>2.1902364409373862</v>
      </c>
      <c r="O38" s="65">
        <v>0.87935524110573271</v>
      </c>
      <c r="P38" s="65">
        <v>6.2839190200646948</v>
      </c>
      <c r="Q38" s="65">
        <v>10.046127129844884</v>
      </c>
      <c r="R38" s="65">
        <v>1.822770795533889</v>
      </c>
      <c r="S38" s="65">
        <v>14.03013265423464</v>
      </c>
      <c r="T38" s="3">
        <v>0.15842212845958345</v>
      </c>
      <c r="U38" s="3">
        <v>1.3722507350154173E-2</v>
      </c>
      <c r="V38" s="3">
        <v>3.8004110989091261E-2</v>
      </c>
      <c r="W38" s="3">
        <v>1.5065223416694009</v>
      </c>
      <c r="X38" s="3">
        <v>5.4464565475778479E-2</v>
      </c>
      <c r="Y38" s="3">
        <v>0.68019701522110831</v>
      </c>
      <c r="Z38" s="3">
        <v>0.24540000000000001</v>
      </c>
    </row>
    <row r="39" spans="1:26">
      <c r="A39" t="s">
        <v>236</v>
      </c>
      <c r="B39">
        <v>19</v>
      </c>
      <c r="C39" s="3">
        <v>-0.14713666666666667</v>
      </c>
      <c r="D39" s="3">
        <v>0.26969337090837731</v>
      </c>
      <c r="E39" s="3">
        <v>4.6816390058494056E-2</v>
      </c>
      <c r="F39" s="3">
        <v>6.7279229737616172E-2</v>
      </c>
      <c r="G39" s="65">
        <v>0.8387778956397639</v>
      </c>
      <c r="H39" s="65">
        <v>1.60070111091836</v>
      </c>
      <c r="I39" s="3">
        <v>0.13388164598855057</v>
      </c>
      <c r="J39" s="3">
        <v>0.67598359199996327</v>
      </c>
      <c r="K39" s="3">
        <v>7.0099999999999996E-2</v>
      </c>
      <c r="L39" s="3">
        <v>0.54774951823179885</v>
      </c>
      <c r="M39" s="3">
        <v>8.9345969819278573E-2</v>
      </c>
      <c r="N39" s="65">
        <v>0.20539294157771462</v>
      </c>
      <c r="O39" s="65">
        <v>7.785269341085777</v>
      </c>
      <c r="P39" s="65">
        <v>12.701231489743156</v>
      </c>
      <c r="Q39" s="65">
        <v>31.282179206839263</v>
      </c>
      <c r="R39" s="65">
        <v>1.0789864566845957</v>
      </c>
      <c r="S39" s="65">
        <v>34.620574922445279</v>
      </c>
      <c r="T39" s="3">
        <v>-0.6111278234342038</v>
      </c>
      <c r="U39" s="3">
        <v>0.25819803394004409</v>
      </c>
      <c r="V39" s="3">
        <v>0.26912402409773456</v>
      </c>
      <c r="W39" s="3">
        <v>1.5839659027786925</v>
      </c>
      <c r="X39" s="3">
        <v>0.18266048315237854</v>
      </c>
      <c r="Y39" s="3">
        <v>0.56847664608279069</v>
      </c>
      <c r="Z39" s="3">
        <v>2.1600000000000001E-2</v>
      </c>
    </row>
    <row r="40" spans="1:26">
      <c r="A40" t="s">
        <v>237</v>
      </c>
      <c r="B40">
        <v>254</v>
      </c>
      <c r="C40" s="3">
        <v>0.19900759398496237</v>
      </c>
      <c r="D40" s="3">
        <v>0.17412753392867494</v>
      </c>
      <c r="E40" s="3">
        <v>0.15878607397399988</v>
      </c>
      <c r="F40" s="3">
        <v>3.6967519289018667E-2</v>
      </c>
      <c r="G40" s="65">
        <v>1.062001680471524</v>
      </c>
      <c r="H40" s="65">
        <v>1.1623831948690986</v>
      </c>
      <c r="I40" s="3">
        <v>0.10784556177522446</v>
      </c>
      <c r="J40" s="3">
        <v>0.50940122537609955</v>
      </c>
      <c r="K40" s="3">
        <v>5.8800000000000005E-2</v>
      </c>
      <c r="L40" s="3">
        <v>0.11192266952101866</v>
      </c>
      <c r="M40" s="3">
        <v>0.10071098833122433</v>
      </c>
      <c r="N40" s="65">
        <v>1.0339137994093208</v>
      </c>
      <c r="O40" s="65">
        <v>5.1528482926352703</v>
      </c>
      <c r="P40" s="65">
        <v>19.089978627201564</v>
      </c>
      <c r="Q40" s="65">
        <v>32.02458868945606</v>
      </c>
      <c r="R40" s="65">
        <v>4.7012180470511611</v>
      </c>
      <c r="S40" s="65">
        <v>62.958973741822945</v>
      </c>
      <c r="T40" s="3">
        <v>0.2449164318011062</v>
      </c>
      <c r="U40" s="3">
        <v>0.11832959057934007</v>
      </c>
      <c r="V40" s="3">
        <v>0.125937345585974</v>
      </c>
      <c r="W40" s="3">
        <v>1.2930672956492639</v>
      </c>
      <c r="X40" s="3">
        <v>7.091922967824961E-2</v>
      </c>
      <c r="Y40" s="3">
        <v>0.4613141074361804</v>
      </c>
      <c r="Z40" s="3">
        <v>0.42159999999999997</v>
      </c>
    </row>
    <row r="41" spans="1:26">
      <c r="A41" t="s">
        <v>238</v>
      </c>
      <c r="B41">
        <v>131</v>
      </c>
      <c r="C41" s="3">
        <v>0.20156749999999996</v>
      </c>
      <c r="D41" s="3">
        <v>4.3473817529182085E-2</v>
      </c>
      <c r="E41" s="3">
        <v>0.33786301082539277</v>
      </c>
      <c r="F41" s="3">
        <v>6.7422782748656859E-2</v>
      </c>
      <c r="G41" s="65">
        <v>0.9858326817212415</v>
      </c>
      <c r="H41" s="65">
        <v>1.1603652760592904</v>
      </c>
      <c r="I41" s="3">
        <v>0.10772569739792186</v>
      </c>
      <c r="J41" s="3">
        <v>0.47792508451312243</v>
      </c>
      <c r="K41" s="3">
        <v>5.5E-2</v>
      </c>
      <c r="L41" s="3">
        <v>0.19097410804999704</v>
      </c>
      <c r="M41" s="3">
        <v>9.5030560380352236E-2</v>
      </c>
      <c r="N41" s="65">
        <v>9.0252769307357763</v>
      </c>
      <c r="O41" s="65">
        <v>0.6887289455148623</v>
      </c>
      <c r="P41" s="65">
        <v>12.160437523661249</v>
      </c>
      <c r="Q41" s="65">
        <v>16.776247571494821</v>
      </c>
      <c r="R41" s="65">
        <v>3.6006610530276073</v>
      </c>
      <c r="S41" s="65">
        <v>45.908014552106231</v>
      </c>
      <c r="T41" s="3">
        <v>-7.1402598028056971E-2</v>
      </c>
      <c r="U41" s="3">
        <v>6.8462345197443271E-3</v>
      </c>
      <c r="V41" s="3">
        <v>8.0213467891352766E-3</v>
      </c>
      <c r="W41" s="3">
        <v>0.30340227132321113</v>
      </c>
      <c r="X41" s="3">
        <v>0.12337379962692853</v>
      </c>
      <c r="Y41" s="3">
        <v>0.33042108015587673</v>
      </c>
      <c r="Z41" s="3">
        <v>0.17960000000000001</v>
      </c>
    </row>
    <row r="42" spans="1:26">
      <c r="A42" t="s">
        <v>239</v>
      </c>
      <c r="B42">
        <v>138</v>
      </c>
      <c r="C42" s="3">
        <v>0.20452035087719289</v>
      </c>
      <c r="D42" s="3">
        <v>0.19373820695157423</v>
      </c>
      <c r="E42" s="3">
        <v>0.19103562594036017</v>
      </c>
      <c r="F42" s="3">
        <v>4.304939948115865E-2</v>
      </c>
      <c r="G42" s="65">
        <v>1.3298040924419459</v>
      </c>
      <c r="H42" s="65">
        <v>1.4715094541215377</v>
      </c>
      <c r="I42" s="3">
        <v>0.12620766157481933</v>
      </c>
      <c r="J42" s="3">
        <v>0.53871737622490645</v>
      </c>
      <c r="K42" s="3">
        <v>5.8800000000000005E-2</v>
      </c>
      <c r="L42" s="3">
        <v>0.12440570020083286</v>
      </c>
      <c r="M42" s="3">
        <v>0.11599300044475092</v>
      </c>
      <c r="N42" s="65">
        <v>1.1333037378180726</v>
      </c>
      <c r="O42" s="65">
        <v>5.3325294190233024</v>
      </c>
      <c r="P42" s="65">
        <v>19.362951181106027</v>
      </c>
      <c r="Q42" s="65">
        <v>30.48594494927957</v>
      </c>
      <c r="R42" s="65">
        <v>4.3261553331491758</v>
      </c>
      <c r="S42" s="65">
        <v>48.341137501288586</v>
      </c>
      <c r="T42" s="3">
        <v>0.22486925050519696</v>
      </c>
      <c r="U42" s="3">
        <v>7.2469223761760222E-4</v>
      </c>
      <c r="V42" s="3">
        <v>0.14769419579728138</v>
      </c>
      <c r="W42" s="3">
        <v>1.2967985907886859</v>
      </c>
      <c r="X42" s="3">
        <v>-2.8789813310332304E-3</v>
      </c>
      <c r="Y42" s="3">
        <v>4.3282833182668018E-4</v>
      </c>
      <c r="Z42" s="3">
        <v>9.4399999999999998E-2</v>
      </c>
    </row>
    <row r="43" spans="1:26">
      <c r="A43" t="s">
        <v>240</v>
      </c>
      <c r="B43">
        <v>32</v>
      </c>
      <c r="C43" s="3">
        <v>0.15822272727272732</v>
      </c>
      <c r="D43" s="3">
        <v>0.19074752518764387</v>
      </c>
      <c r="E43" s="3">
        <v>0.28173702467387046</v>
      </c>
      <c r="F43" s="3">
        <v>0.17814639912453609</v>
      </c>
      <c r="G43" s="65">
        <v>1.2090023026647645</v>
      </c>
      <c r="H43" s="65">
        <v>1.5022071383659328</v>
      </c>
      <c r="I43" s="3">
        <v>0.12803110401893641</v>
      </c>
      <c r="J43" s="3">
        <v>0.33330387129630179</v>
      </c>
      <c r="K43" s="3">
        <v>5.5E-2</v>
      </c>
      <c r="L43" s="3">
        <v>0.24434620786730529</v>
      </c>
      <c r="M43" s="3">
        <v>0.10682647033737112</v>
      </c>
      <c r="N43" s="65">
        <v>1.8239578402915135</v>
      </c>
      <c r="O43" s="65">
        <v>0.85286384314212538</v>
      </c>
      <c r="P43" s="65">
        <v>4.3890620152083137</v>
      </c>
      <c r="Q43" s="65">
        <v>4.5364031276398906</v>
      </c>
      <c r="R43" s="65">
        <v>1.2863359814095505</v>
      </c>
      <c r="S43" s="65">
        <v>5.0845371401835715</v>
      </c>
      <c r="T43" s="3">
        <v>0.63254621439333414</v>
      </c>
      <c r="U43" s="3">
        <v>6.3110106495485605E-3</v>
      </c>
      <c r="V43" s="3">
        <v>1.3602387991019798E-2</v>
      </c>
      <c r="W43" s="3">
        <v>0.69959467750769999</v>
      </c>
      <c r="X43" s="3">
        <v>0.30747510708973141</v>
      </c>
      <c r="Y43" s="3">
        <v>5.4486024996357962E-2</v>
      </c>
      <c r="Z43" s="3">
        <v>5.6300000000000003E-2</v>
      </c>
    </row>
    <row r="44" spans="1:26">
      <c r="A44" t="s">
        <v>241</v>
      </c>
      <c r="B44">
        <v>34</v>
      </c>
      <c r="C44" s="3">
        <v>1.5967368421052629E-2</v>
      </c>
      <c r="D44" s="3">
        <v>0.1223749268248409</v>
      </c>
      <c r="E44" s="3">
        <v>0.20452836690892628</v>
      </c>
      <c r="F44" s="3">
        <v>9.557019609780229E-2</v>
      </c>
      <c r="G44" s="65">
        <v>0.70967487477038171</v>
      </c>
      <c r="H44" s="65">
        <v>1.174001444953803</v>
      </c>
      <c r="I44" s="3">
        <v>0.1085356858302559</v>
      </c>
      <c r="J44" s="3">
        <v>0.5119442326502478</v>
      </c>
      <c r="K44" s="3">
        <v>5.8800000000000005E-2</v>
      </c>
      <c r="L44" s="3">
        <v>0.46591874206509154</v>
      </c>
      <c r="M44" s="3">
        <v>7.8513892144121633E-2</v>
      </c>
      <c r="N44" s="65">
        <v>1.9460469084153049</v>
      </c>
      <c r="O44" s="65">
        <v>1.5690399443104104</v>
      </c>
      <c r="P44" s="65">
        <v>8.7043988675181971</v>
      </c>
      <c r="Q44" s="65">
        <v>13.48218533002113</v>
      </c>
      <c r="R44" s="65">
        <v>5.3262709154662966</v>
      </c>
      <c r="S44" s="65">
        <v>105.59442613995225</v>
      </c>
      <c r="T44" s="3">
        <v>0.10445838743236993</v>
      </c>
      <c r="U44" s="3">
        <v>1.3927684229044475E-2</v>
      </c>
      <c r="V44" s="3">
        <v>3.632154631162509E-2</v>
      </c>
      <c r="W44" s="3">
        <v>0.63442286965049366</v>
      </c>
      <c r="X44" s="3">
        <v>0.49037665345444303</v>
      </c>
      <c r="Y44" s="3">
        <v>0.13557220326973293</v>
      </c>
      <c r="Z44" s="3">
        <v>1.1047</v>
      </c>
    </row>
    <row r="45" spans="1:26">
      <c r="A45" t="s">
        <v>242</v>
      </c>
      <c r="B45">
        <v>69</v>
      </c>
      <c r="C45" s="3">
        <v>7.5841891891891888E-2</v>
      </c>
      <c r="D45" s="3">
        <v>9.9972296922255732E-2</v>
      </c>
      <c r="E45" s="3">
        <v>2.338560835877878E-2</v>
      </c>
      <c r="F45" s="3">
        <v>8.1424228660483253E-2</v>
      </c>
      <c r="G45" s="65">
        <v>0.97375323863571084</v>
      </c>
      <c r="H45" s="65">
        <v>1.4599765370156599</v>
      </c>
      <c r="I45" s="3">
        <v>0.12552260629873019</v>
      </c>
      <c r="J45" s="3">
        <v>0.38051359185436157</v>
      </c>
      <c r="K45" s="3">
        <v>5.5E-2</v>
      </c>
      <c r="L45" s="3">
        <v>0.39967778031636919</v>
      </c>
      <c r="M45" s="3">
        <v>9.1840718071778432E-2</v>
      </c>
      <c r="N45" s="65">
        <v>0.64787039431885951</v>
      </c>
      <c r="O45" s="65">
        <v>4.2049047271240401</v>
      </c>
      <c r="P45" s="65">
        <v>15.187616716813173</v>
      </c>
      <c r="Q45" s="65">
        <v>82.577163959326853</v>
      </c>
      <c r="R45" s="65">
        <v>6.7731300365371192</v>
      </c>
      <c r="S45" s="65">
        <v>17.546856842427747</v>
      </c>
      <c r="T45" s="3">
        <v>7.508768954208403E-2</v>
      </c>
      <c r="U45" s="3">
        <v>0.12996342799426844</v>
      </c>
      <c r="V45" s="3">
        <v>4.5490902879932432E-2</v>
      </c>
      <c r="W45" s="3">
        <v>2.5582638357878977</v>
      </c>
      <c r="X45" s="3">
        <v>2.5319429359336565E-2</v>
      </c>
      <c r="Y45" s="3">
        <v>0.49425325285811983</v>
      </c>
      <c r="Z45" s="3">
        <v>0.42880000000000001</v>
      </c>
    </row>
    <row r="46" spans="1:26">
      <c r="A46" t="s">
        <v>243</v>
      </c>
      <c r="B46">
        <v>127</v>
      </c>
      <c r="C46" s="3">
        <v>0.11551042553191491</v>
      </c>
      <c r="D46" s="3">
        <v>0.17863449867047343</v>
      </c>
      <c r="E46" s="3">
        <v>0.34916245427993664</v>
      </c>
      <c r="F46" s="3">
        <v>6.7270246303556352E-2</v>
      </c>
      <c r="G46" s="65">
        <v>1.0345486686981815</v>
      </c>
      <c r="H46" s="65">
        <v>1.1550009836175177</v>
      </c>
      <c r="I46" s="3">
        <v>0.10740705842688056</v>
      </c>
      <c r="J46" s="3">
        <v>0.56827524943110697</v>
      </c>
      <c r="K46" s="3">
        <v>5.8800000000000005E-2</v>
      </c>
      <c r="L46" s="3">
        <v>0.13437882331900164</v>
      </c>
      <c r="M46" s="3">
        <v>9.889993040768906E-2</v>
      </c>
      <c r="N46" s="65">
        <v>2.1854467010901835</v>
      </c>
      <c r="O46" s="65">
        <v>3.6464203371631907</v>
      </c>
      <c r="P46" s="65">
        <v>16.847339181418562</v>
      </c>
      <c r="Q46" s="65">
        <v>21.18720479743272</v>
      </c>
      <c r="R46" s="65">
        <v>9.1673284053546542</v>
      </c>
      <c r="S46" s="65">
        <v>124.19393691012411</v>
      </c>
      <c r="T46" s="3">
        <v>8.557124926849248E-2</v>
      </c>
      <c r="U46" s="3">
        <v>1.2704344447733367E-2</v>
      </c>
      <c r="V46" s="3">
        <v>2.1526585003622836E-2</v>
      </c>
      <c r="W46" s="3">
        <v>0.30086972700331699</v>
      </c>
      <c r="X46" s="3">
        <v>0.33178970303031108</v>
      </c>
      <c r="Y46" s="3">
        <v>0.63694590638551551</v>
      </c>
      <c r="Z46" s="3">
        <v>0.91910000000000003</v>
      </c>
    </row>
    <row r="47" spans="1:26">
      <c r="A47" t="s">
        <v>244</v>
      </c>
      <c r="B47">
        <v>73</v>
      </c>
      <c r="C47" s="3">
        <v>0.11055135135135132</v>
      </c>
      <c r="D47" s="3">
        <v>0.26879481464770871</v>
      </c>
      <c r="E47" s="3">
        <v>0.32885779790753611</v>
      </c>
      <c r="F47" s="3">
        <v>0.12449529547899026</v>
      </c>
      <c r="G47" s="65">
        <v>1.279406915006702</v>
      </c>
      <c r="H47" s="65">
        <v>1.4047128789332648</v>
      </c>
      <c r="I47" s="3">
        <v>0.12223994500863593</v>
      </c>
      <c r="J47" s="3">
        <v>0.4510937058049509</v>
      </c>
      <c r="K47" s="3">
        <v>5.5E-2</v>
      </c>
      <c r="L47" s="3">
        <v>0.11550414899232817</v>
      </c>
      <c r="M47" s="3">
        <v>0.11288527033347798</v>
      </c>
      <c r="N47" s="65">
        <v>1.5141875230145225</v>
      </c>
      <c r="O47" s="65">
        <v>6.2565620034079643</v>
      </c>
      <c r="P47" s="65">
        <v>18.382536710012751</v>
      </c>
      <c r="Q47" s="65">
        <v>24.564148067341321</v>
      </c>
      <c r="R47" s="65">
        <v>5.9729645320866211</v>
      </c>
      <c r="S47" s="65">
        <v>60.496023071559009</v>
      </c>
      <c r="T47" s="3">
        <v>3.0657700926152779E-2</v>
      </c>
      <c r="U47" s="3">
        <v>-1.4683566513378913E-3</v>
      </c>
      <c r="V47" s="3">
        <v>2.5448641162149385E-2</v>
      </c>
      <c r="W47" s="3">
        <v>0.21794407398303611</v>
      </c>
      <c r="X47" s="3">
        <v>0.17742326258322197</v>
      </c>
      <c r="Y47" s="3">
        <v>0.28072861797189408</v>
      </c>
      <c r="Z47" s="3">
        <v>0.23810000000000001</v>
      </c>
    </row>
    <row r="48" spans="1:26">
      <c r="A48" t="s">
        <v>245</v>
      </c>
      <c r="B48">
        <v>21</v>
      </c>
      <c r="C48" s="3">
        <v>6.9009090909090909E-2</v>
      </c>
      <c r="D48" s="3">
        <v>0.22831467138580874</v>
      </c>
      <c r="E48" s="3">
        <v>0.19306560566074529</v>
      </c>
      <c r="F48" s="3">
        <v>0.10263886699732405</v>
      </c>
      <c r="G48" s="65">
        <v>0.99926267132365276</v>
      </c>
      <c r="H48" s="65">
        <v>1.2277613538599423</v>
      </c>
      <c r="I48" s="3">
        <v>0.11172902441928058</v>
      </c>
      <c r="J48" s="3">
        <v>0.43761028506670019</v>
      </c>
      <c r="K48" s="3">
        <v>5.5E-2</v>
      </c>
      <c r="L48" s="3">
        <v>0.2336517107244612</v>
      </c>
      <c r="M48" s="3">
        <v>9.5261479793524589E-2</v>
      </c>
      <c r="N48" s="65">
        <v>0.98415249869977295</v>
      </c>
      <c r="O48" s="65">
        <v>2.1601068304801978</v>
      </c>
      <c r="P48" s="65">
        <v>7.4342754777128324</v>
      </c>
      <c r="Q48" s="65">
        <v>9.8073341957188447</v>
      </c>
      <c r="R48" s="65">
        <v>2.5932604826210461</v>
      </c>
      <c r="S48" s="65">
        <v>213.16752918372785</v>
      </c>
      <c r="T48" s="3">
        <v>2.4139638910329986E-2</v>
      </c>
      <c r="U48" s="3">
        <v>-3.1650180745330693E-2</v>
      </c>
      <c r="V48" s="3">
        <v>9.5651260425099142E-3</v>
      </c>
      <c r="W48" s="3">
        <v>0.67908189916431683</v>
      </c>
      <c r="X48" s="3">
        <v>0.17429837416489147</v>
      </c>
      <c r="Y48" s="3">
        <v>0.16850456388146776</v>
      </c>
      <c r="Z48" s="3">
        <v>0.27929999999999999</v>
      </c>
    </row>
    <row r="49" spans="1:26">
      <c r="A49" t="s">
        <v>246</v>
      </c>
      <c r="B49">
        <v>27</v>
      </c>
      <c r="C49" s="3">
        <v>8.2870000000000013E-2</v>
      </c>
      <c r="D49" s="3">
        <v>8.8083511867213457E-2</v>
      </c>
      <c r="E49" s="3">
        <v>4.8284141395065781E-2</v>
      </c>
      <c r="F49" s="3">
        <v>0.11407564986678613</v>
      </c>
      <c r="G49" s="65">
        <v>0.55483775319596584</v>
      </c>
      <c r="H49" s="65">
        <v>0.93935366031437906</v>
      </c>
      <c r="I49" s="3">
        <v>9.4597607422674118E-2</v>
      </c>
      <c r="J49" s="3">
        <v>0.28891454530535254</v>
      </c>
      <c r="K49" s="3">
        <v>5.5E-2</v>
      </c>
      <c r="L49" s="3">
        <v>0.4802581428121806</v>
      </c>
      <c r="M49" s="3">
        <v>6.8976984558387341E-2</v>
      </c>
      <c r="N49" s="65">
        <v>0.64950919179700761</v>
      </c>
      <c r="O49" s="65">
        <v>1.3252068248279174</v>
      </c>
      <c r="P49" s="65">
        <v>10.666709589984549</v>
      </c>
      <c r="Q49" s="65">
        <v>12.247740216996728</v>
      </c>
      <c r="R49" s="65">
        <v>1.7297667448322556</v>
      </c>
      <c r="S49" s="65">
        <v>16.589451562329984</v>
      </c>
      <c r="T49" s="3">
        <v>0.16252107176106828</v>
      </c>
      <c r="U49" s="3">
        <v>-3.8606362671102083E-3</v>
      </c>
      <c r="V49" s="3">
        <v>2.3115111588852626E-3</v>
      </c>
      <c r="W49" s="3">
        <v>6.7875330273915258E-3</v>
      </c>
      <c r="X49" s="3">
        <v>5.5791645738122134E-2</v>
      </c>
      <c r="Y49" s="3">
        <v>0.38242287811508857</v>
      </c>
      <c r="Z49" s="3">
        <v>0.27260000000000001</v>
      </c>
    </row>
    <row r="50" spans="1:26">
      <c r="A50" t="s">
        <v>247</v>
      </c>
      <c r="B50">
        <v>51</v>
      </c>
      <c r="C50" s="3">
        <v>3.8176363636363633E-2</v>
      </c>
      <c r="D50" s="3">
        <v>6.7880255888549151E-2</v>
      </c>
      <c r="E50" s="3">
        <v>7.0761900090086594E-2</v>
      </c>
      <c r="F50" s="3">
        <v>0.109240658776035</v>
      </c>
      <c r="G50" s="65">
        <v>0.69190791449346434</v>
      </c>
      <c r="H50" s="65">
        <v>0.80330136282469566</v>
      </c>
      <c r="I50" s="3">
        <v>8.6516100951786926E-2</v>
      </c>
      <c r="J50" s="3">
        <v>0.27667183307261639</v>
      </c>
      <c r="K50" s="3">
        <v>5.5E-2</v>
      </c>
      <c r="L50" s="3">
        <v>0.17672400294711046</v>
      </c>
      <c r="M50" s="3">
        <v>7.8516494393779127E-2</v>
      </c>
      <c r="N50" s="65">
        <v>1.2235917495745048</v>
      </c>
      <c r="O50" s="65">
        <v>1.3918409007316568</v>
      </c>
      <c r="P50" s="65">
        <v>14.615123157002838</v>
      </c>
      <c r="Q50" s="65">
        <v>21.016328286322402</v>
      </c>
      <c r="R50" s="65">
        <v>2.1991436416927073</v>
      </c>
      <c r="S50" s="65">
        <v>20.230973091308005</v>
      </c>
      <c r="T50" s="3">
        <v>-0.51115076312450791</v>
      </c>
      <c r="U50" s="3">
        <v>3.6507669157428164E-3</v>
      </c>
      <c r="V50" s="3">
        <v>5.7751294134666727E-3</v>
      </c>
      <c r="W50" s="3">
        <v>0.4890913390928211</v>
      </c>
      <c r="X50" s="3">
        <v>5.7098673382014541E-2</v>
      </c>
      <c r="Y50" s="3">
        <v>0.73319411994328065</v>
      </c>
      <c r="Z50" s="3">
        <v>0.24360000000000001</v>
      </c>
    </row>
    <row r="51" spans="1:26">
      <c r="A51" t="s">
        <v>248</v>
      </c>
      <c r="B51">
        <v>600</v>
      </c>
      <c r="C51" s="3">
        <v>0.10789090909090909</v>
      </c>
      <c r="D51" s="3">
        <v>0.22431248036605417</v>
      </c>
      <c r="E51" s="3">
        <v>9.1618858518155641E-2</v>
      </c>
      <c r="F51" s="3">
        <v>4.0125418223955996E-2</v>
      </c>
      <c r="G51" s="65">
        <v>0.48432128388936641</v>
      </c>
      <c r="H51" s="65">
        <v>0.62361295447909626</v>
      </c>
      <c r="I51" s="3">
        <v>7.5842609496058311E-2</v>
      </c>
      <c r="J51" s="3">
        <v>9.9064267399825573E-2</v>
      </c>
      <c r="K51" s="3">
        <v>4.7300000000000002E-2</v>
      </c>
      <c r="L51" s="3">
        <v>0.27717935374212399</v>
      </c>
      <c r="M51" s="3">
        <v>6.465354158382644E-2</v>
      </c>
      <c r="N51" s="65">
        <v>0.52461323393522952</v>
      </c>
      <c r="O51" s="65">
        <v>5.1649613951272544</v>
      </c>
      <c r="P51" s="65">
        <v>18.342065712597037</v>
      </c>
      <c r="Q51" s="65">
        <v>22.443138397407701</v>
      </c>
      <c r="R51" s="65">
        <v>2.1284887607798471</v>
      </c>
      <c r="S51" s="65">
        <v>413.13881292938402</v>
      </c>
      <c r="T51" t="s">
        <v>584</v>
      </c>
      <c r="U51" s="3">
        <v>5.3070408422195771E-2</v>
      </c>
      <c r="V51" s="3">
        <v>7.4477408503655404E-2</v>
      </c>
      <c r="W51" s="3">
        <v>0.59864143010683313</v>
      </c>
      <c r="X51" s="3">
        <v>0.17165541003222293</v>
      </c>
      <c r="Y51" s="3">
        <v>0.42685509300941743</v>
      </c>
      <c r="Z51" s="3">
        <v>0.63039999999999996</v>
      </c>
    </row>
    <row r="52" spans="1:26">
      <c r="A52" t="s">
        <v>249</v>
      </c>
      <c r="B52">
        <v>116</v>
      </c>
      <c r="C52" s="3">
        <v>8.5045652173913022E-2</v>
      </c>
      <c r="D52" s="3">
        <v>0.14795079635368322</v>
      </c>
      <c r="E52" s="3">
        <v>0.27440895225758682</v>
      </c>
      <c r="F52" s="3">
        <v>0.10366582315102471</v>
      </c>
      <c r="G52" s="65">
        <v>1.0592381651393292</v>
      </c>
      <c r="H52" s="65">
        <v>1.2248168994320441</v>
      </c>
      <c r="I52" s="3">
        <v>0.11155412382626342</v>
      </c>
      <c r="J52" s="3">
        <v>0.32362033573649224</v>
      </c>
      <c r="K52" s="3">
        <v>5.5E-2</v>
      </c>
      <c r="L52" s="3">
        <v>0.17247652623442106</v>
      </c>
      <c r="M52" s="3">
        <v>9.9428312768754926E-2</v>
      </c>
      <c r="N52" s="65">
        <v>2.1608500691718713</v>
      </c>
      <c r="O52" s="65">
        <v>2.6683702336166513</v>
      </c>
      <c r="P52" s="65">
        <v>14.083078687600038</v>
      </c>
      <c r="Q52" s="65">
        <v>18.889167436267432</v>
      </c>
      <c r="R52" s="65">
        <v>4.0573852862411108</v>
      </c>
      <c r="S52" s="65">
        <v>43.773185758788792</v>
      </c>
      <c r="T52" s="3">
        <v>0.25954733960836424</v>
      </c>
      <c r="U52" s="3">
        <v>3.9940132462024158E-2</v>
      </c>
      <c r="V52" s="3">
        <v>0.10792630698907046</v>
      </c>
      <c r="W52" s="3">
        <v>1.4023558792324888</v>
      </c>
      <c r="X52" s="3">
        <v>0.15486472220663997</v>
      </c>
      <c r="Y52" s="3">
        <v>0.3670721468884211</v>
      </c>
      <c r="Z52" s="3">
        <v>0.37580000000000002</v>
      </c>
    </row>
    <row r="53" spans="1:26">
      <c r="A53" t="s">
        <v>250</v>
      </c>
      <c r="B53">
        <v>68</v>
      </c>
      <c r="C53" s="3">
        <v>5.8830769230769242E-2</v>
      </c>
      <c r="D53" s="3">
        <v>0.23439628551803884</v>
      </c>
      <c r="E53" s="3">
        <v>0.34724969889915558</v>
      </c>
      <c r="F53" s="3">
        <v>4.1470687221803568E-2</v>
      </c>
      <c r="G53" s="65">
        <v>1.1105956618026913</v>
      </c>
      <c r="H53" s="65">
        <v>1.2900534643158847</v>
      </c>
      <c r="I53" s="3">
        <v>0.11542917578036356</v>
      </c>
      <c r="J53" s="3">
        <v>0.70056239501193862</v>
      </c>
      <c r="K53" s="3">
        <v>7.0099999999999996E-2</v>
      </c>
      <c r="L53" s="3">
        <v>0.17725898477475721</v>
      </c>
      <c r="M53" s="3">
        <v>0.10428770839268217</v>
      </c>
      <c r="N53" s="65">
        <v>1.5847983484975299</v>
      </c>
      <c r="O53" s="65">
        <v>2.060190198107211</v>
      </c>
      <c r="P53" s="65">
        <v>6.5793971374589546</v>
      </c>
      <c r="Q53" s="65">
        <v>8.8543889128364412</v>
      </c>
      <c r="R53" s="65">
        <v>2.7533885244207719</v>
      </c>
      <c r="S53" s="65">
        <v>17.597890904343</v>
      </c>
      <c r="T53" s="3">
        <v>0.12050846757809916</v>
      </c>
      <c r="U53" s="3">
        <v>1.0325301873605076E-2</v>
      </c>
      <c r="V53" s="3">
        <v>2.3387475892735522E-2</v>
      </c>
      <c r="W53" s="3">
        <v>0.30254133855159898</v>
      </c>
      <c r="X53" s="3">
        <v>0.21097592151322797</v>
      </c>
      <c r="Y53" s="3">
        <v>0.62501159406327877</v>
      </c>
      <c r="Z53" s="3">
        <v>2.0999999999999999E-3</v>
      </c>
    </row>
    <row r="54" spans="1:26">
      <c r="A54" t="s">
        <v>251</v>
      </c>
      <c r="B54">
        <v>16</v>
      </c>
      <c r="C54" s="3">
        <v>0.15791928571428571</v>
      </c>
      <c r="D54" s="3">
        <v>6.627812787799954E-2</v>
      </c>
      <c r="E54" s="3">
        <v>0.12191063223697689</v>
      </c>
      <c r="F54" s="3">
        <v>0.19532686112334122</v>
      </c>
      <c r="G54" s="65">
        <v>0.78420140106216341</v>
      </c>
      <c r="H54" s="65">
        <v>1.1770946700328646</v>
      </c>
      <c r="I54" s="3">
        <v>0.10871942339995216</v>
      </c>
      <c r="J54" s="3">
        <v>0.35220934553840333</v>
      </c>
      <c r="K54" s="3">
        <v>5.5E-2</v>
      </c>
      <c r="L54" s="3">
        <v>0.40048472944003649</v>
      </c>
      <c r="M54" s="3">
        <v>8.169894962414706E-2</v>
      </c>
      <c r="N54" s="65">
        <v>2.3804211822459824</v>
      </c>
      <c r="O54" s="65">
        <v>0.93288594172655359</v>
      </c>
      <c r="P54" s="65">
        <v>8.4487645169046903</v>
      </c>
      <c r="Q54" s="65">
        <v>14.906166393314605</v>
      </c>
      <c r="R54" s="65">
        <v>2.022459919957329</v>
      </c>
      <c r="S54" s="65">
        <v>23.352946188547765</v>
      </c>
      <c r="T54" s="3">
        <v>0.10580064791999493</v>
      </c>
      <c r="U54" s="3">
        <v>3.6925574384203833E-3</v>
      </c>
      <c r="V54" s="3">
        <v>5.7351213513274449E-2</v>
      </c>
      <c r="W54" s="3">
        <v>2.0750554367424625</v>
      </c>
      <c r="X54" s="3">
        <v>7.9602467166695279E-2</v>
      </c>
      <c r="Y54" s="3">
        <v>0.82958172172552991</v>
      </c>
      <c r="Z54" s="3">
        <v>0.33110000000000001</v>
      </c>
    </row>
    <row r="55" spans="1:26">
      <c r="A55" t="s">
        <v>252</v>
      </c>
      <c r="B55">
        <v>4</v>
      </c>
      <c r="C55" s="3">
        <v>0.12122499999999999</v>
      </c>
      <c r="D55" s="3">
        <v>0.17578239550243965</v>
      </c>
      <c r="E55" s="3">
        <v>0.22371179665386631</v>
      </c>
      <c r="F55" s="3">
        <v>0.14222153189085546</v>
      </c>
      <c r="G55" s="65">
        <v>0.89984822770792305</v>
      </c>
      <c r="H55" s="65">
        <v>0.97748589274906783</v>
      </c>
      <c r="I55" s="3">
        <v>9.6862662029294638E-2</v>
      </c>
      <c r="J55" s="3">
        <v>0.30548944434643338</v>
      </c>
      <c r="K55" s="3">
        <v>5.5E-2</v>
      </c>
      <c r="L55" s="3">
        <v>0.10316970884560783</v>
      </c>
      <c r="M55" s="3">
        <v>9.1125119879603117E-2</v>
      </c>
      <c r="N55" s="65">
        <v>1.4955904353767258</v>
      </c>
      <c r="O55" s="65">
        <v>1.3937972898489077</v>
      </c>
      <c r="P55" s="65">
        <v>5.7320775498789676</v>
      </c>
      <c r="Q55" s="65">
        <v>7.9816868353676975</v>
      </c>
      <c r="R55" s="65">
        <v>2.2503250646526936</v>
      </c>
      <c r="S55" s="65">
        <v>6.7123160711345058</v>
      </c>
      <c r="T55" s="3">
        <v>3.1610616267447898E-2</v>
      </c>
      <c r="U55" s="3">
        <v>-6.7250118034775708E-2</v>
      </c>
      <c r="V55" s="3">
        <v>-1.2355711407971395E-2</v>
      </c>
      <c r="W55" s="3">
        <v>-0.10405303090005764</v>
      </c>
      <c r="X55" s="3">
        <v>0.32415954257527113</v>
      </c>
      <c r="Y55" s="3">
        <v>0.26356755294941536</v>
      </c>
      <c r="Z55" s="3">
        <v>0.99939999999999996</v>
      </c>
    </row>
    <row r="56" spans="1:26">
      <c r="A56" t="s">
        <v>253</v>
      </c>
      <c r="B56">
        <v>174</v>
      </c>
      <c r="C56" s="3">
        <v>0.2956583720930232</v>
      </c>
      <c r="D56" s="3">
        <v>0.36204432359040056</v>
      </c>
      <c r="E56" s="3">
        <v>0.39824340316559603</v>
      </c>
      <c r="F56" s="3">
        <v>4.6038594576514963E-2</v>
      </c>
      <c r="G56" s="65">
        <v>1.0928248493155008</v>
      </c>
      <c r="H56" s="65">
        <v>1.2574315521617736</v>
      </c>
      <c r="I56" s="3">
        <v>0.11349143419840936</v>
      </c>
      <c r="J56" s="3">
        <v>0.56976877370013901</v>
      </c>
      <c r="K56" s="3">
        <v>5.8800000000000005E-2</v>
      </c>
      <c r="L56" s="3">
        <v>0.16724493485833186</v>
      </c>
      <c r="M56" s="3">
        <v>0.10188606830617017</v>
      </c>
      <c r="N56" s="65">
        <v>1.1700439551307493</v>
      </c>
      <c r="O56" s="65">
        <v>2.1191896091279183</v>
      </c>
      <c r="P56" s="65">
        <v>4.2762475428828282</v>
      </c>
      <c r="Q56" s="65">
        <v>5.8693014187188091</v>
      </c>
      <c r="R56" s="65">
        <v>2.4310528245139333</v>
      </c>
      <c r="S56" s="65">
        <v>20.684944931020116</v>
      </c>
      <c r="T56" s="3">
        <v>-3.6044277362041313E-2</v>
      </c>
      <c r="U56" s="3">
        <v>-0.22847164912298079</v>
      </c>
      <c r="V56" s="3">
        <v>0.1078629574354029</v>
      </c>
      <c r="W56" s="3">
        <v>0.44233129168815011</v>
      </c>
      <c r="X56" s="3">
        <v>0.47000099498595782</v>
      </c>
      <c r="Y56" s="3">
        <v>0.23146864253952529</v>
      </c>
      <c r="Z56" s="3">
        <v>4.8999999999999998E-3</v>
      </c>
    </row>
    <row r="57" spans="1:26">
      <c r="A57" t="s">
        <v>254</v>
      </c>
      <c r="B57">
        <v>23</v>
      </c>
      <c r="C57" s="3">
        <v>0.21857272727272728</v>
      </c>
      <c r="D57" s="3">
        <v>0.11016070917044092</v>
      </c>
      <c r="E57" s="3">
        <v>7.1751043031635167E-2</v>
      </c>
      <c r="F57" s="3">
        <v>6.9021117945879049E-2</v>
      </c>
      <c r="G57" s="65">
        <v>0.64552421384207415</v>
      </c>
      <c r="H57" s="65">
        <v>0.99125533132716515</v>
      </c>
      <c r="I57" s="3">
        <v>9.7680566680833608E-2</v>
      </c>
      <c r="J57" s="3">
        <v>0.33549336269635954</v>
      </c>
      <c r="K57" s="3">
        <v>5.5E-2</v>
      </c>
      <c r="L57" s="3">
        <v>0.41660661946754163</v>
      </c>
      <c r="M57" s="3">
        <v>7.4171219061293828E-2</v>
      </c>
      <c r="N57" s="65">
        <v>0.71203789238136128</v>
      </c>
      <c r="O57" s="65">
        <v>2.5992733148507301</v>
      </c>
      <c r="P57" s="65">
        <v>11.364603400921791</v>
      </c>
      <c r="Q57" s="65">
        <v>19.407040295183869</v>
      </c>
      <c r="R57" s="65">
        <v>2.7164260652684495</v>
      </c>
      <c r="S57" s="65">
        <v>17.526913954325732</v>
      </c>
      <c r="T57" s="3">
        <v>3.5242294739286945E-2</v>
      </c>
      <c r="U57" s="3">
        <v>5.0148697565255682E-2</v>
      </c>
      <c r="V57" s="3">
        <v>4.8183145588975365E-2</v>
      </c>
      <c r="W57" s="3">
        <v>0.67110751780546696</v>
      </c>
      <c r="X57" s="3">
        <v>4.0932050446910083E-2</v>
      </c>
      <c r="Y57" s="3">
        <v>3.1496776117177885</v>
      </c>
      <c r="Z57" s="3">
        <v>2.2572999999999999</v>
      </c>
    </row>
    <row r="58" spans="1:26">
      <c r="A58" t="s">
        <v>255</v>
      </c>
      <c r="B58">
        <v>101</v>
      </c>
      <c r="C58" s="3">
        <v>7.7213384615384614E-2</v>
      </c>
      <c r="D58" s="3">
        <v>7.4989843188953562E-2</v>
      </c>
      <c r="E58" s="3">
        <v>0.2808940923374969</v>
      </c>
      <c r="F58" s="3">
        <v>7.0685214388915923E-2</v>
      </c>
      <c r="G58" s="65">
        <v>1.1049615986151144</v>
      </c>
      <c r="H58" s="65">
        <v>1.3751593545688363</v>
      </c>
      <c r="I58" s="3">
        <v>0.12048446566138887</v>
      </c>
      <c r="J58" s="3">
        <v>0.46898107338785378</v>
      </c>
      <c r="K58" s="3">
        <v>5.5E-2</v>
      </c>
      <c r="L58" s="3">
        <v>0.24587596268608092</v>
      </c>
      <c r="M58" s="3">
        <v>0.10100261513897765</v>
      </c>
      <c r="N58" s="65">
        <v>4.098572921606003</v>
      </c>
      <c r="O58" s="65">
        <v>0.57635942221663927</v>
      </c>
      <c r="P58" s="65">
        <v>5.8988963206205138</v>
      </c>
      <c r="Q58" s="65">
        <v>7.7833497505910376</v>
      </c>
      <c r="R58" s="65">
        <v>2.0668608085450391</v>
      </c>
      <c r="S58" s="65">
        <v>35.470030674274732</v>
      </c>
      <c r="T58" s="3">
        <v>5.2452832524179795E-2</v>
      </c>
      <c r="U58" s="3">
        <v>-7.939312059139853E-4</v>
      </c>
      <c r="V58" s="3">
        <v>2.8621639869896368E-3</v>
      </c>
      <c r="W58" s="3">
        <v>0.23846989683692524</v>
      </c>
      <c r="X58" s="3">
        <v>0.30821046000842239</v>
      </c>
      <c r="Y58" s="3">
        <v>0.17578397726915398</v>
      </c>
      <c r="Z58" s="3">
        <v>0.5181</v>
      </c>
    </row>
    <row r="59" spans="1:26">
      <c r="A59" t="s">
        <v>256</v>
      </c>
      <c r="B59">
        <v>25</v>
      </c>
      <c r="C59" s="3">
        <v>5.9018421052631581E-2</v>
      </c>
      <c r="D59" s="3">
        <v>9.8763604845802003E-2</v>
      </c>
      <c r="E59" s="3">
        <v>0.1604004979040459</v>
      </c>
      <c r="F59" s="3">
        <v>0.14661913030028642</v>
      </c>
      <c r="G59" s="65">
        <v>0.65023176128940541</v>
      </c>
      <c r="H59" s="65">
        <v>0.95242199691205232</v>
      </c>
      <c r="I59" s="3">
        <v>9.5373866616575903E-2</v>
      </c>
      <c r="J59" s="3">
        <v>0.24431384085324004</v>
      </c>
      <c r="K59" s="3">
        <v>4.7300000000000002E-2</v>
      </c>
      <c r="L59" s="3">
        <v>0.38258512094774455</v>
      </c>
      <c r="M59" s="3">
        <v>7.24574514874404E-2</v>
      </c>
      <c r="N59" s="65">
        <v>1.9517809054097339</v>
      </c>
      <c r="O59" s="65">
        <v>1.2479568457109567</v>
      </c>
      <c r="P59" s="65">
        <v>8.2417995740318624</v>
      </c>
      <c r="Q59" s="65">
        <v>12.954725986412068</v>
      </c>
      <c r="R59" s="65">
        <v>2.4964229215467095</v>
      </c>
      <c r="S59" s="65">
        <v>13.232355624196757</v>
      </c>
      <c r="T59" s="3">
        <v>0.10397534477232311</v>
      </c>
      <c r="U59" s="3">
        <v>2.177664819877731E-2</v>
      </c>
      <c r="V59" s="3">
        <v>4.4288846553796668E-2</v>
      </c>
      <c r="W59" s="3">
        <v>0.86939175063028251</v>
      </c>
      <c r="X59" s="3">
        <v>0.19745548981610928</v>
      </c>
      <c r="Y59" s="3">
        <v>0.28641173896085093</v>
      </c>
      <c r="Z59" s="3">
        <v>0.35849999999999999</v>
      </c>
    </row>
    <row r="60" spans="1:26">
      <c r="A60" t="s">
        <v>257</v>
      </c>
      <c r="B60">
        <v>7</v>
      </c>
      <c r="C60" s="3">
        <v>6.9949999999999998E-2</v>
      </c>
      <c r="D60" s="3">
        <v>0.18929409962834484</v>
      </c>
      <c r="E60" s="3">
        <v>0.4283275094215141</v>
      </c>
      <c r="F60" s="3">
        <v>0.12757457269381595</v>
      </c>
      <c r="G60" s="65">
        <v>1.0406467462902025</v>
      </c>
      <c r="H60" s="65">
        <v>1.3830066711394122</v>
      </c>
      <c r="I60" s="3">
        <v>0.1209505962656811</v>
      </c>
      <c r="J60" s="3">
        <v>0.42843597130920175</v>
      </c>
      <c r="K60" s="3">
        <v>5.5E-2</v>
      </c>
      <c r="L60" s="3">
        <v>0.30490399792922035</v>
      </c>
      <c r="M60" s="3">
        <v>9.6649565826932238E-2</v>
      </c>
      <c r="N60" s="65">
        <v>2.640287423267194</v>
      </c>
      <c r="O60" s="65">
        <v>0.77446083379170738</v>
      </c>
      <c r="P60" s="65">
        <v>3.4314540119535057</v>
      </c>
      <c r="Q60" s="65">
        <v>4.1600867348658133</v>
      </c>
      <c r="R60" s="65">
        <v>2.8493401569593408</v>
      </c>
      <c r="S60" s="65">
        <v>12.831132860096082</v>
      </c>
      <c r="T60" s="3">
        <v>7.955855971818733E-2</v>
      </c>
      <c r="U60" s="3">
        <v>-2.8965992312751398E-3</v>
      </c>
      <c r="V60" s="3">
        <v>3.594806278218337E-2</v>
      </c>
      <c r="W60" s="3">
        <v>0.37226163421064296</v>
      </c>
      <c r="X60" s="3">
        <v>0.46826521479713606</v>
      </c>
      <c r="Y60" s="3">
        <v>7.8840487377558333E-2</v>
      </c>
      <c r="Z60" s="3">
        <v>1.1308</v>
      </c>
    </row>
    <row r="61" spans="1:26">
      <c r="A61" t="s">
        <v>258</v>
      </c>
      <c r="B61">
        <v>48</v>
      </c>
      <c r="C61" s="3">
        <v>6.4126904761904746E-2</v>
      </c>
      <c r="D61" s="3">
        <v>0.15918445591333349</v>
      </c>
      <c r="E61" s="3">
        <v>6.0420809677153589E-2</v>
      </c>
      <c r="F61" s="3">
        <v>0.12298398219937019</v>
      </c>
      <c r="G61" s="65">
        <v>0.45924849585608929</v>
      </c>
      <c r="H61" s="65">
        <v>0.72500097471023861</v>
      </c>
      <c r="I61" s="3">
        <v>8.1865057897788168E-2</v>
      </c>
      <c r="J61" s="3">
        <v>0.1717812350329328</v>
      </c>
      <c r="K61" s="3">
        <v>4.7300000000000002E-2</v>
      </c>
      <c r="L61" s="3">
        <v>0.43552496662165086</v>
      </c>
      <c r="M61" s="3">
        <v>6.1661029480277525E-2</v>
      </c>
      <c r="N61" s="65">
        <v>0.43922516402299394</v>
      </c>
      <c r="O61" s="65">
        <v>3.7530377133084176</v>
      </c>
      <c r="P61" s="65">
        <v>12.972637040869596</v>
      </c>
      <c r="Q61" s="65">
        <v>23.94821694902156</v>
      </c>
      <c r="R61" s="65">
        <v>1.9823980732078421</v>
      </c>
      <c r="S61" s="65">
        <v>19.074322918507089</v>
      </c>
      <c r="T61" s="3">
        <v>6.578724389324328E-2</v>
      </c>
      <c r="U61" s="3">
        <v>0.20554745056513421</v>
      </c>
      <c r="V61" s="3">
        <v>0.1839600884056081</v>
      </c>
      <c r="W61" s="3">
        <v>1.4569117844566188</v>
      </c>
      <c r="X61" s="3">
        <v>9.3898042779040264E-2</v>
      </c>
      <c r="Y61" s="3">
        <v>0.60556891515405864</v>
      </c>
      <c r="Z61" s="3">
        <v>0.68679999999999997</v>
      </c>
    </row>
    <row r="62" spans="1:26">
      <c r="A62" t="s">
        <v>259</v>
      </c>
      <c r="B62">
        <v>74</v>
      </c>
      <c r="C62" s="3">
        <v>3.7385714285714321E-2</v>
      </c>
      <c r="D62" s="3">
        <v>0.11149764199171598</v>
      </c>
      <c r="E62" s="3">
        <v>5.282254269046003E-2</v>
      </c>
      <c r="F62" s="3">
        <v>2.8730153469345189E-2</v>
      </c>
      <c r="G62" s="65">
        <v>1.0990439462329342</v>
      </c>
      <c r="H62" s="65">
        <v>1.2336190389708566</v>
      </c>
      <c r="I62" s="3">
        <v>0.11207697091486889</v>
      </c>
      <c r="J62" s="3">
        <v>0.72543314545868787</v>
      </c>
      <c r="K62" s="3">
        <v>7.0099999999999996E-2</v>
      </c>
      <c r="L62" s="3">
        <v>0.14034933783922693</v>
      </c>
      <c r="M62" s="3">
        <v>0.10372590869683809</v>
      </c>
      <c r="N62" s="65">
        <v>0.51744376843268447</v>
      </c>
      <c r="O62" s="65">
        <v>3.5531523553351589</v>
      </c>
      <c r="P62" s="65">
        <v>10.884098925641386</v>
      </c>
      <c r="Q62" s="65">
        <v>33.924611581302663</v>
      </c>
      <c r="R62" s="65">
        <v>1.6758914035578867</v>
      </c>
      <c r="S62" s="65">
        <v>14.432357858158962</v>
      </c>
      <c r="T62" s="3">
        <v>0.10747723875647383</v>
      </c>
      <c r="U62" s="3">
        <v>-8.1864633393163536E-2</v>
      </c>
      <c r="V62" s="3">
        <v>6.2998989653640855E-2</v>
      </c>
      <c r="W62" s="3">
        <v>1.1648256717549319</v>
      </c>
      <c r="X62" s="3">
        <v>3.6607071626089407E-2</v>
      </c>
      <c r="Y62" s="3">
        <v>1.6036342196424935</v>
      </c>
      <c r="Z62" s="3">
        <v>2.3999999999999998E-3</v>
      </c>
    </row>
    <row r="63" spans="1:26">
      <c r="A63" t="s">
        <v>260</v>
      </c>
      <c r="B63">
        <v>20</v>
      </c>
      <c r="C63" s="3">
        <v>3.3178571428571425E-2</v>
      </c>
      <c r="D63" s="3">
        <v>8.4322782314229586E-2</v>
      </c>
      <c r="E63" s="3">
        <v>0.15253143934703767</v>
      </c>
      <c r="F63" s="3">
        <v>9.667014521273086E-2</v>
      </c>
      <c r="G63" s="65">
        <v>0.846977468544032</v>
      </c>
      <c r="H63" s="65">
        <v>1.1148957766881691</v>
      </c>
      <c r="I63" s="3">
        <v>0.10502480913527724</v>
      </c>
      <c r="J63" s="3">
        <v>0.30919744401282184</v>
      </c>
      <c r="K63" s="3">
        <v>5.5E-2</v>
      </c>
      <c r="L63" s="3">
        <v>0.29664827548349576</v>
      </c>
      <c r="M63" s="3">
        <v>8.6106121986008144E-2</v>
      </c>
      <c r="N63" s="65">
        <v>2.1495360876073235</v>
      </c>
      <c r="O63" s="65">
        <v>1.1585137067311873</v>
      </c>
      <c r="P63" s="65">
        <v>8.3960946722323548</v>
      </c>
      <c r="Q63" s="65">
        <v>14.858834219149905</v>
      </c>
      <c r="R63" s="65">
        <v>1.5796672211897118</v>
      </c>
      <c r="S63" s="65">
        <v>19.59895929655136</v>
      </c>
      <c r="T63" s="3">
        <v>9.8783804806749545E-2</v>
      </c>
      <c r="U63" s="3">
        <v>5.6288048002505545E-3</v>
      </c>
      <c r="V63" s="3">
        <v>6.1126999345159062E-2</v>
      </c>
      <c r="W63" s="3">
        <v>1.2037354739181043</v>
      </c>
      <c r="X63" s="3">
        <v>5.1457490948492286E-2</v>
      </c>
      <c r="Y63" s="3">
        <v>0.52372759488470044</v>
      </c>
      <c r="Z63" s="3">
        <v>1.1288</v>
      </c>
    </row>
    <row r="64" spans="1:26">
      <c r="A64" t="s">
        <v>261</v>
      </c>
      <c r="B64">
        <v>223</v>
      </c>
      <c r="C64" s="3">
        <v>9.5720324324324327E-2</v>
      </c>
      <c r="D64" s="3">
        <v>0.27234375425871554</v>
      </c>
      <c r="E64" s="3">
        <v>3.2919535377649287E-2</v>
      </c>
      <c r="F64" s="3">
        <v>3.3816563274859365E-2</v>
      </c>
      <c r="G64" s="65">
        <v>0.67304006478006928</v>
      </c>
      <c r="H64" s="65">
        <v>1.063376043005491</v>
      </c>
      <c r="I64" s="3">
        <v>0.10196453695452617</v>
      </c>
      <c r="J64" s="3">
        <v>0.21541532639566627</v>
      </c>
      <c r="K64" s="3">
        <v>4.7300000000000002E-2</v>
      </c>
      <c r="L64" s="3">
        <v>0.43607305258100248</v>
      </c>
      <c r="M64" s="3">
        <v>7.297024161006857E-2</v>
      </c>
      <c r="N64" s="65">
        <v>0.14684116326248878</v>
      </c>
      <c r="O64" s="65">
        <v>11.06237876186524</v>
      </c>
      <c r="P64" s="65">
        <v>19.889516018721697</v>
      </c>
      <c r="Q64" s="65">
        <v>43.36149682247148</v>
      </c>
      <c r="R64" s="65">
        <v>1.9278379217128667</v>
      </c>
      <c r="S64" s="65">
        <v>41.482551524936767</v>
      </c>
      <c r="T64" s="3">
        <v>1.1802755385535975</v>
      </c>
      <c r="U64" s="3">
        <v>-0.15306880511760745</v>
      </c>
      <c r="V64" s="3">
        <v>-6.9579443323791318E-2</v>
      </c>
      <c r="W64" s="3">
        <v>-0.3090305179736722</v>
      </c>
      <c r="X64" s="3">
        <v>8.8529626809054379E-2</v>
      </c>
      <c r="Y64" s="3">
        <v>1.0779848431093604</v>
      </c>
      <c r="Z64" s="3">
        <v>1.3782000000000001</v>
      </c>
    </row>
    <row r="65" spans="1:26">
      <c r="A65" t="s">
        <v>262</v>
      </c>
      <c r="B65">
        <v>18</v>
      </c>
      <c r="C65" s="3">
        <v>0.10161666666666665</v>
      </c>
      <c r="D65" s="3">
        <v>0.19376159816868602</v>
      </c>
      <c r="E65" s="3">
        <v>6.1246870475157367E-2</v>
      </c>
      <c r="F65" s="3">
        <v>6.6640216513095124E-2</v>
      </c>
      <c r="G65" s="65">
        <v>0.8224236303686755</v>
      </c>
      <c r="H65" s="65">
        <v>1.5166924498761216</v>
      </c>
      <c r="I65" s="3">
        <v>0.12889153152264163</v>
      </c>
      <c r="J65" s="3">
        <v>0.51250635002105183</v>
      </c>
      <c r="K65" s="3">
        <v>5.8800000000000005E-2</v>
      </c>
      <c r="L65" s="3">
        <v>0.52953698868574195</v>
      </c>
      <c r="M65" s="3">
        <v>8.3991279254089821E-2</v>
      </c>
      <c r="N65" s="65">
        <v>0.37533699252084596</v>
      </c>
      <c r="O65" s="65">
        <v>2.8074579856808244</v>
      </c>
      <c r="P65" s="65">
        <v>10.539631090506099</v>
      </c>
      <c r="Q65" s="65">
        <v>15.458491482757813</v>
      </c>
      <c r="R65" s="65">
        <v>0.94227824319529518</v>
      </c>
      <c r="S65" s="65">
        <v>10.7244443912679</v>
      </c>
      <c r="T65" s="3">
        <v>6.8979327664156362E-2</v>
      </c>
      <c r="U65" s="3">
        <v>0.21690308145710785</v>
      </c>
      <c r="V65" s="3">
        <v>-4.235974257333449E-2</v>
      </c>
      <c r="W65" s="3">
        <v>-0.52566876328210455</v>
      </c>
      <c r="X65" s="3">
        <v>0.10514161885746096</v>
      </c>
      <c r="Y65" s="3">
        <v>0</v>
      </c>
      <c r="Z65" s="3">
        <v>0</v>
      </c>
    </row>
    <row r="66" spans="1:26">
      <c r="A66" t="s">
        <v>263</v>
      </c>
      <c r="B66">
        <v>12</v>
      </c>
      <c r="C66" s="3">
        <v>8.7419999999999998E-2</v>
      </c>
      <c r="D66" s="3">
        <v>0.20929321203638909</v>
      </c>
      <c r="E66" s="3">
        <v>6.5124916516099793E-2</v>
      </c>
      <c r="F66" s="3">
        <v>9.3712951646556686E-2</v>
      </c>
      <c r="G66" s="65">
        <v>0.60817652544580536</v>
      </c>
      <c r="H66" s="65">
        <v>0.78980297684164968</v>
      </c>
      <c r="I66" s="3">
        <v>8.5714296824393993E-2</v>
      </c>
      <c r="J66" s="3">
        <v>0.28661749273612586</v>
      </c>
      <c r="K66" s="3">
        <v>5.5E-2</v>
      </c>
      <c r="L66" s="3">
        <v>0.28478860416132579</v>
      </c>
      <c r="M66" s="3">
        <v>7.3051371796759967E-2</v>
      </c>
      <c r="N66" s="65">
        <v>0.38625209859805604</v>
      </c>
      <c r="O66" s="65">
        <v>4.0156438237906613</v>
      </c>
      <c r="P66" s="65">
        <v>14.89079423992054</v>
      </c>
      <c r="Q66" s="65">
        <v>21.390967318368396</v>
      </c>
      <c r="R66" s="65">
        <v>0.96600942934182954</v>
      </c>
      <c r="S66" s="65">
        <v>17.526867681340555</v>
      </c>
      <c r="T66" s="3">
        <v>2.0459245976207137</v>
      </c>
      <c r="U66" s="3">
        <v>-2.9910701827821965E-2</v>
      </c>
      <c r="V66" s="3">
        <v>-3.3939818054584079E-4</v>
      </c>
      <c r="W66" s="3">
        <v>0.6677825293193983</v>
      </c>
      <c r="X66" s="3">
        <v>6.6811159787871804E-2</v>
      </c>
      <c r="Y66" s="3">
        <v>0.33199889563776919</v>
      </c>
      <c r="Z66" s="3">
        <v>4.4936999999999996</v>
      </c>
    </row>
    <row r="67" spans="1:26">
      <c r="A67" t="s">
        <v>264</v>
      </c>
      <c r="B67">
        <v>60</v>
      </c>
      <c r="C67" s="3">
        <v>0.16003758620689656</v>
      </c>
      <c r="D67" s="3">
        <v>2.9685899015614067E-2</v>
      </c>
      <c r="E67" s="3">
        <v>1.0758116120213667E-2</v>
      </c>
      <c r="F67" s="3">
        <v>5.4661662502489834E-2</v>
      </c>
      <c r="G67" s="65">
        <v>0.73950848272502001</v>
      </c>
      <c r="H67" s="65">
        <v>1.3454843302112593</v>
      </c>
      <c r="I67" s="3">
        <v>0.11872176921454881</v>
      </c>
      <c r="J67" s="3">
        <v>0.44434220453063733</v>
      </c>
      <c r="K67" s="3">
        <v>5.5E-2</v>
      </c>
      <c r="L67" s="3">
        <v>0.5221196650429506</v>
      </c>
      <c r="M67" s="3">
        <v>7.8272235021963815E-2</v>
      </c>
      <c r="N67" s="65">
        <v>1.5689215564881624</v>
      </c>
      <c r="O67" s="65">
        <v>0.99731101203291117</v>
      </c>
      <c r="P67" s="65">
        <v>8.7971462659737867</v>
      </c>
      <c r="Q67" s="65">
        <v>159.94211887150664</v>
      </c>
      <c r="R67" s="65">
        <v>1.6465144649718912</v>
      </c>
      <c r="S67" s="65">
        <v>39.800177325074387</v>
      </c>
      <c r="T67" s="3">
        <v>0.15137872576266614</v>
      </c>
      <c r="U67" s="3">
        <v>-6.3576461763783796E-3</v>
      </c>
      <c r="V67" s="3">
        <v>-9.7335503466809909E-4</v>
      </c>
      <c r="W67" s="3" t="s">
        <v>584</v>
      </c>
      <c r="X67" s="3">
        <v>-3.5766856752091167E-2</v>
      </c>
      <c r="Y67" s="3">
        <v>3.3508867332228652E-3</v>
      </c>
      <c r="Z67" s="3">
        <v>0.1008</v>
      </c>
    </row>
    <row r="68" spans="1:26">
      <c r="A68" t="s">
        <v>265</v>
      </c>
      <c r="B68">
        <v>57</v>
      </c>
      <c r="C68" s="3">
        <v>7.7886923076923062E-2</v>
      </c>
      <c r="D68" s="3">
        <v>0.11790857096351075</v>
      </c>
      <c r="E68" s="3">
        <v>0.12254941456919057</v>
      </c>
      <c r="F68" s="3">
        <v>9.4928845466662873E-2</v>
      </c>
      <c r="G68" s="65">
        <v>1.0197970615986987</v>
      </c>
      <c r="H68" s="65">
        <v>1.4179809441636479</v>
      </c>
      <c r="I68" s="3">
        <v>0.12302806808332069</v>
      </c>
      <c r="J68" s="3">
        <v>0.42131153923229786</v>
      </c>
      <c r="K68" s="3">
        <v>5.5E-2</v>
      </c>
      <c r="L68" s="3">
        <v>0.34236718555089074</v>
      </c>
      <c r="M68" s="3">
        <v>9.5029941073845062E-2</v>
      </c>
      <c r="N68" s="65">
        <v>1.5859899092296037</v>
      </c>
      <c r="O68" s="65">
        <v>1.7662464800785203</v>
      </c>
      <c r="P68" s="65">
        <v>9.6622797370029652</v>
      </c>
      <c r="Q68" s="65">
        <v>20.261567691401542</v>
      </c>
      <c r="R68" s="65">
        <v>3.2439902238762262</v>
      </c>
      <c r="S68" s="65">
        <v>18.79714703297693</v>
      </c>
      <c r="T68" s="3">
        <v>0.18853137911199377</v>
      </c>
      <c r="U68" s="3">
        <v>0.11377842440533756</v>
      </c>
      <c r="V68" s="3">
        <v>8.4633752387295091E-2</v>
      </c>
      <c r="W68" s="3">
        <v>2.4253997212904026</v>
      </c>
      <c r="X68" s="3">
        <v>3.9523433869521209E-2</v>
      </c>
      <c r="Y68" s="3">
        <v>1.3633798616766255</v>
      </c>
      <c r="Z68" s="3">
        <v>1.1976</v>
      </c>
    </row>
    <row r="69" spans="1:26">
      <c r="A69" t="s">
        <v>266</v>
      </c>
      <c r="B69">
        <v>1</v>
      </c>
      <c r="C69" s="3">
        <v>5.6299999999999996E-2</v>
      </c>
      <c r="D69" s="3">
        <v>4.9316586627262654E-2</v>
      </c>
      <c r="E69" s="3">
        <v>5.2526535195568026E-2</v>
      </c>
      <c r="F69" s="3">
        <v>6.4829821717990274E-2</v>
      </c>
      <c r="G69" s="65">
        <v>0.61965579129437864</v>
      </c>
      <c r="H69" s="65">
        <v>0.82924820341635141</v>
      </c>
      <c r="I69" s="3">
        <v>8.8057343282931272E-2</v>
      </c>
      <c r="J69" s="3">
        <v>0.1936761567443839</v>
      </c>
      <c r="K69" s="3">
        <v>4.7300000000000002E-2</v>
      </c>
      <c r="L69" s="3">
        <v>0.31081382917101813</v>
      </c>
      <c r="M69" s="3">
        <v>7.1714023820378447E-2</v>
      </c>
      <c r="N69" s="65">
        <v>1.2102032753146545</v>
      </c>
      <c r="O69" s="65">
        <v>0.63216265478481615</v>
      </c>
      <c r="P69" s="65">
        <v>12.075250898524033</v>
      </c>
      <c r="Q69" s="65">
        <v>13.620688310926171</v>
      </c>
      <c r="R69" s="65">
        <v>2.5371894202511358</v>
      </c>
      <c r="S69" s="65">
        <v>16.516000000000002</v>
      </c>
      <c r="T69" s="3">
        <v>-0.17934983376431474</v>
      </c>
      <c r="U69" s="3">
        <v>-9.8234674161250621E-3</v>
      </c>
      <c r="V69" s="3">
        <v>-3.5894594261790392E-3</v>
      </c>
      <c r="W69" s="3">
        <v>5.9152910542786076E-2</v>
      </c>
      <c r="X69" s="3">
        <v>4.4625533566162202E-2</v>
      </c>
      <c r="Y69" s="3">
        <v>0.34956521739130436</v>
      </c>
      <c r="Z69" s="3">
        <v>9.2499999999999999E-2</v>
      </c>
    </row>
    <row r="70" spans="1:26">
      <c r="A70" t="s">
        <v>267</v>
      </c>
      <c r="B70">
        <v>70</v>
      </c>
      <c r="C70" s="3">
        <v>6.2767619047619044E-2</v>
      </c>
      <c r="D70" s="3">
        <v>0.16327635069809424</v>
      </c>
      <c r="E70" s="3">
        <v>0.18384754911547566</v>
      </c>
      <c r="F70" s="3">
        <v>8.5443306117611847E-2</v>
      </c>
      <c r="G70" s="65">
        <v>1.1459049297128838</v>
      </c>
      <c r="H70" s="65">
        <v>1.4103978688180479</v>
      </c>
      <c r="I70" s="3">
        <v>0.12257763340779204</v>
      </c>
      <c r="J70" s="3">
        <v>0.41147053391609606</v>
      </c>
      <c r="K70" s="3">
        <v>5.5E-2</v>
      </c>
      <c r="L70" s="3">
        <v>0.23533040964915261</v>
      </c>
      <c r="M70" s="3">
        <v>0.10343876812214023</v>
      </c>
      <c r="N70" s="65">
        <v>1.5701942239956401</v>
      </c>
      <c r="O70" s="65">
        <v>4.0665383764474727</v>
      </c>
      <c r="P70" s="65">
        <v>16.789677683444001</v>
      </c>
      <c r="Q70" s="65">
        <v>31.709447042133828</v>
      </c>
      <c r="R70" s="65" t="s">
        <v>584</v>
      </c>
      <c r="S70" s="65">
        <v>32.060305059956086</v>
      </c>
      <c r="T70" s="3">
        <v>1.691510380042419E-2</v>
      </c>
      <c r="U70" s="3">
        <v>2.4713858138244199E-2</v>
      </c>
      <c r="V70" s="3">
        <v>4.1202702185160214E-2</v>
      </c>
      <c r="W70" s="3">
        <v>0.45041519247016731</v>
      </c>
      <c r="X70" s="3" t="s">
        <v>584</v>
      </c>
      <c r="Y70" s="3">
        <v>0.61859397079777145</v>
      </c>
      <c r="Z70" s="3">
        <v>0.51759999999999995</v>
      </c>
    </row>
    <row r="71" spans="1:26">
      <c r="A71" t="s">
        <v>268</v>
      </c>
      <c r="B71">
        <v>30</v>
      </c>
      <c r="C71" s="3">
        <v>0.17119444444444448</v>
      </c>
      <c r="D71" s="3">
        <v>6.4840698016329953E-2</v>
      </c>
      <c r="E71" s="3">
        <v>0.15601912407155186</v>
      </c>
      <c r="F71" s="3">
        <v>0.15838509352594998</v>
      </c>
      <c r="G71" s="65">
        <v>1.0622166906556574</v>
      </c>
      <c r="H71" s="65">
        <v>1.5201925121768585</v>
      </c>
      <c r="I71" s="3">
        <v>0.12909943522330541</v>
      </c>
      <c r="J71" s="3">
        <v>0.35710895966484529</v>
      </c>
      <c r="K71" s="3">
        <v>5.5E-2</v>
      </c>
      <c r="L71" s="3">
        <v>0.36502616498949741</v>
      </c>
      <c r="M71" s="3">
        <v>9.7032092787248961E-2</v>
      </c>
      <c r="N71" s="65">
        <v>3.2313109542113141</v>
      </c>
      <c r="O71" s="65">
        <v>0.90560565109919078</v>
      </c>
      <c r="P71" s="65">
        <v>9.7510306004997052</v>
      </c>
      <c r="Q71" s="65">
        <v>15.107260975672965</v>
      </c>
      <c r="R71" s="65">
        <v>6.0652224522249334</v>
      </c>
      <c r="S71" s="65">
        <v>10.001651614901713</v>
      </c>
      <c r="T71" s="3">
        <v>8.1386429198359977E-2</v>
      </c>
      <c r="U71" s="3">
        <v>1.7203559314504849E-2</v>
      </c>
      <c r="V71" s="3">
        <v>5.1259894461536532E-2</v>
      </c>
      <c r="W71" s="3">
        <v>1.3390635636870629</v>
      </c>
      <c r="X71" s="3">
        <v>0.43254080251611221</v>
      </c>
      <c r="Y71" s="3">
        <v>6.7007152043207063E-2</v>
      </c>
      <c r="Z71" s="3">
        <v>3.5499999999999997E-2</v>
      </c>
    </row>
    <row r="72" spans="1:26">
      <c r="A72" t="s">
        <v>269</v>
      </c>
      <c r="B72">
        <v>15</v>
      </c>
      <c r="C72" s="3">
        <v>0.13023333333333334</v>
      </c>
      <c r="D72" s="3">
        <v>0.14147771925145963</v>
      </c>
      <c r="E72" s="3">
        <v>0.50284847286762124</v>
      </c>
      <c r="F72" s="3">
        <v>0.13391716018934746</v>
      </c>
      <c r="G72" s="65">
        <v>1.5435856274378488</v>
      </c>
      <c r="H72" s="65">
        <v>1.7891723510222548</v>
      </c>
      <c r="I72" s="3">
        <v>0.14507683765072193</v>
      </c>
      <c r="J72" s="3">
        <v>0.37546183716654358</v>
      </c>
      <c r="K72" s="3">
        <v>5.5E-2</v>
      </c>
      <c r="L72" s="3">
        <v>0.17500957285412982</v>
      </c>
      <c r="M72" s="3">
        <v>0.12690614714267401</v>
      </c>
      <c r="N72" s="65">
        <v>4.2038176025207861</v>
      </c>
      <c r="O72" s="65">
        <v>1.9563486558546059</v>
      </c>
      <c r="P72" s="65">
        <v>11.469128120171815</v>
      </c>
      <c r="Q72" s="65">
        <v>14.161032414237553</v>
      </c>
      <c r="R72" s="65" t="s">
        <v>584</v>
      </c>
      <c r="S72" s="65">
        <v>14.307930590731086</v>
      </c>
      <c r="T72" s="3">
        <v>0.10000462572456546</v>
      </c>
      <c r="U72" s="3">
        <v>2.0227784508702832E-3</v>
      </c>
      <c r="V72" s="3">
        <v>6.3132169216013083E-3</v>
      </c>
      <c r="W72" s="3">
        <v>0.41726625965420955</v>
      </c>
      <c r="X72" s="3">
        <v>4.7726960627988493E-3</v>
      </c>
      <c r="Y72" s="3">
        <v>0.41155081198269666</v>
      </c>
      <c r="Z72" s="3">
        <v>0.38719999999999999</v>
      </c>
    </row>
    <row r="73" spans="1:26">
      <c r="A73" t="s">
        <v>270</v>
      </c>
      <c r="B73">
        <v>69</v>
      </c>
      <c r="C73" s="3">
        <v>7.3269285714285717E-2</v>
      </c>
      <c r="D73" s="3">
        <v>0.12026925853749258</v>
      </c>
      <c r="E73" s="3">
        <v>0.21342632081347138</v>
      </c>
      <c r="F73" s="3">
        <v>0.13594643894000899</v>
      </c>
      <c r="G73" s="65">
        <v>0.98341318877188311</v>
      </c>
      <c r="H73" s="65">
        <v>1.2752456934388758</v>
      </c>
      <c r="I73" s="3">
        <v>0.11454959419026922</v>
      </c>
      <c r="J73" s="3">
        <v>0.37083010776240061</v>
      </c>
      <c r="K73" s="3">
        <v>5.5E-2</v>
      </c>
      <c r="L73" s="3">
        <v>0.2834997671745757</v>
      </c>
      <c r="M73" s="3">
        <v>9.3769176303337004E-2</v>
      </c>
      <c r="N73" s="65">
        <v>2.0729280898718252</v>
      </c>
      <c r="O73" s="65">
        <v>1.4491371517415981</v>
      </c>
      <c r="P73" s="65">
        <v>9.4337028665467226</v>
      </c>
      <c r="Q73" s="65">
        <v>11.189698840895451</v>
      </c>
      <c r="R73" s="65">
        <v>3.3546996530954596</v>
      </c>
      <c r="S73" s="65">
        <v>27.139280463174906</v>
      </c>
      <c r="T73" s="3">
        <v>0.17141068041195093</v>
      </c>
      <c r="U73" s="3">
        <v>5.0780477336164566E-2</v>
      </c>
      <c r="V73" s="3">
        <v>7.9493645195904877E-2</v>
      </c>
      <c r="W73" s="3">
        <v>1.3260349839685297</v>
      </c>
      <c r="X73" s="3">
        <v>0.27374436051738033</v>
      </c>
      <c r="Y73" s="3">
        <v>0.21645782493310001</v>
      </c>
      <c r="Z73" s="3">
        <v>0.31509999999999999</v>
      </c>
    </row>
    <row r="74" spans="1:26">
      <c r="A74" t="s">
        <v>271</v>
      </c>
      <c r="B74">
        <v>15</v>
      </c>
      <c r="C74" s="3">
        <v>4.3181538461538473E-2</v>
      </c>
      <c r="D74" s="3">
        <v>4.5844772283665965E-2</v>
      </c>
      <c r="E74" s="3">
        <v>0.17887258680308168</v>
      </c>
      <c r="F74" s="3">
        <v>0.21259763765231698</v>
      </c>
      <c r="G74" s="65">
        <v>1.1856378988434997</v>
      </c>
      <c r="H74" s="65">
        <v>1.3632136186935628</v>
      </c>
      <c r="I74" s="3">
        <v>0.11977488895039763</v>
      </c>
      <c r="J74" s="3">
        <v>0.31528080319313112</v>
      </c>
      <c r="K74" s="3">
        <v>5.5E-2</v>
      </c>
      <c r="L74" s="3">
        <v>0.16645578370845249</v>
      </c>
      <c r="M74" s="3">
        <v>0.10670396701953999</v>
      </c>
      <c r="N74" s="65">
        <v>5.5117475233811613</v>
      </c>
      <c r="O74" s="65">
        <v>0.81313449985441677</v>
      </c>
      <c r="P74" s="65">
        <v>11.895592388704946</v>
      </c>
      <c r="Q74" s="65">
        <v>19.728979846455509</v>
      </c>
      <c r="R74" s="65">
        <v>5.4471986647594894</v>
      </c>
      <c r="S74" s="65">
        <v>18.550527865353317</v>
      </c>
      <c r="T74" s="3">
        <v>2.6165379645365121E-2</v>
      </c>
      <c r="U74" s="3">
        <v>2.2870350403747554E-4</v>
      </c>
      <c r="V74" s="3">
        <v>1.2638682392051338E-2</v>
      </c>
      <c r="W74" s="3">
        <v>0.98470208721765384</v>
      </c>
      <c r="X74" s="3">
        <v>0.18290105640630752</v>
      </c>
      <c r="Y74" s="3">
        <v>0.40597654479383538</v>
      </c>
      <c r="Z74" s="3">
        <v>0.47299999999999998</v>
      </c>
    </row>
    <row r="75" spans="1:26">
      <c r="A75" t="s">
        <v>272</v>
      </c>
      <c r="B75">
        <v>13</v>
      </c>
      <c r="C75" s="3">
        <v>4.9611111111111106E-2</v>
      </c>
      <c r="D75" s="3">
        <v>3.4846537036000616E-2</v>
      </c>
      <c r="E75" s="3">
        <v>0.12766332763145424</v>
      </c>
      <c r="F75" s="3">
        <v>0.16454371176768529</v>
      </c>
      <c r="G75" s="65">
        <v>0.44694397400442637</v>
      </c>
      <c r="H75" s="65">
        <v>0.66756973306313983</v>
      </c>
      <c r="I75" s="3">
        <v>7.8453642143950508E-2</v>
      </c>
      <c r="J75" s="3">
        <v>0.28264661461127033</v>
      </c>
      <c r="K75" s="3">
        <v>5.5E-2</v>
      </c>
      <c r="L75" s="3">
        <v>0.39692761226145523</v>
      </c>
      <c r="M75" s="3">
        <v>6.3686489300322585E-2</v>
      </c>
      <c r="N75" s="65">
        <v>5.2344758552729687</v>
      </c>
      <c r="O75" s="65">
        <v>0.37471973967659333</v>
      </c>
      <c r="P75" s="65">
        <v>5.89476304542662</v>
      </c>
      <c r="Q75" s="65">
        <v>12.820375172626665</v>
      </c>
      <c r="R75" s="65">
        <v>2.7461328553855116</v>
      </c>
      <c r="S75" s="65">
        <v>16.752102075844263</v>
      </c>
      <c r="T75" s="3">
        <v>-5.8215488757404205E-3</v>
      </c>
      <c r="U75" s="3">
        <v>1.1046969695747576E-3</v>
      </c>
      <c r="V75" s="3">
        <v>2.3337952710874967E-3</v>
      </c>
      <c r="W75" s="3">
        <v>0.42410606599951739</v>
      </c>
      <c r="X75" s="3">
        <v>0.27975167006797569</v>
      </c>
      <c r="Y75" s="3">
        <v>0.19815214989312624</v>
      </c>
      <c r="Z75" s="3">
        <v>0.19620000000000001</v>
      </c>
    </row>
    <row r="76" spans="1:26">
      <c r="A76" t="s">
        <v>273</v>
      </c>
      <c r="B76">
        <v>63</v>
      </c>
      <c r="C76" s="3">
        <v>0.20712521739130429</v>
      </c>
      <c r="D76" s="3">
        <v>5.8451496020207806E-2</v>
      </c>
      <c r="E76" s="3">
        <v>5.0939512756182574E-2</v>
      </c>
      <c r="F76" s="3">
        <v>4.0941719858048488E-2</v>
      </c>
      <c r="G76" s="65">
        <v>1.3001566778011107</v>
      </c>
      <c r="H76" s="65">
        <v>1.4871300694613425</v>
      </c>
      <c r="I76" s="3">
        <v>0.12713552612600376</v>
      </c>
      <c r="J76" s="3">
        <v>0.59410388760758681</v>
      </c>
      <c r="K76" s="3">
        <v>5.8800000000000005E-2</v>
      </c>
      <c r="L76" s="3">
        <v>0.16089394698680773</v>
      </c>
      <c r="M76" s="3">
        <v>0.11377561258746482</v>
      </c>
      <c r="N76" s="65">
        <v>1.3427580150233107</v>
      </c>
      <c r="O76" s="65">
        <v>1.8662255983788749</v>
      </c>
      <c r="P76" s="65">
        <v>16.070943107400783</v>
      </c>
      <c r="Q76" s="65">
        <v>98.640738304840809</v>
      </c>
      <c r="R76" s="65">
        <v>6.1619844288535095</v>
      </c>
      <c r="S76" s="65">
        <v>205.21167470141248</v>
      </c>
      <c r="T76" s="3">
        <v>-4.2848254664685798E-3</v>
      </c>
      <c r="U76" s="3">
        <v>3.5451473830388706E-2</v>
      </c>
      <c r="V76" s="3">
        <v>8.251654433099144E-2</v>
      </c>
      <c r="W76" s="3">
        <v>7.0941697703296684</v>
      </c>
      <c r="X76" s="3">
        <v>2.5424242440325519E-2</v>
      </c>
      <c r="Y76" s="3">
        <v>0.13918756106739016</v>
      </c>
      <c r="Z76" s="3">
        <v>3.56E-2</v>
      </c>
    </row>
    <row r="77" spans="1:26">
      <c r="A77" t="s">
        <v>274</v>
      </c>
      <c r="B77">
        <v>78</v>
      </c>
      <c r="C77" s="3">
        <v>0.13322980769230772</v>
      </c>
      <c r="D77" s="3">
        <v>5.8969789858791248E-2</v>
      </c>
      <c r="E77" s="3">
        <v>0.15715843531246571</v>
      </c>
      <c r="F77" s="3">
        <v>0.15019349979060045</v>
      </c>
      <c r="G77" s="65">
        <v>1.1403117398631728</v>
      </c>
      <c r="H77" s="65">
        <v>1.4752073825450458</v>
      </c>
      <c r="I77" s="3">
        <v>0.12642731852317574</v>
      </c>
      <c r="J77" s="3">
        <v>0.38585905225789641</v>
      </c>
      <c r="K77" s="3">
        <v>5.5E-2</v>
      </c>
      <c r="L77" s="3">
        <v>0.28139429989154335</v>
      </c>
      <c r="M77" s="3">
        <v>0.10245890661070772</v>
      </c>
      <c r="N77" s="65">
        <v>3.2211003615831286</v>
      </c>
      <c r="O77" s="65">
        <v>0.96745501914780907</v>
      </c>
      <c r="P77" s="65">
        <v>8.3999023750456416</v>
      </c>
      <c r="Q77" s="65">
        <v>16.588661331446687</v>
      </c>
      <c r="R77" s="65">
        <v>4.4182366416657732</v>
      </c>
      <c r="S77" s="65">
        <v>19.968362936967932</v>
      </c>
      <c r="T77" s="3">
        <v>7.8075689362575099E-2</v>
      </c>
      <c r="U77" s="3">
        <v>5.0425815744955832E-4</v>
      </c>
      <c r="V77" s="3">
        <v>1.6007996870033885E-2</v>
      </c>
      <c r="W77" s="3">
        <v>0.88986707734601544</v>
      </c>
      <c r="X77" s="3">
        <v>0.24164994928738759</v>
      </c>
      <c r="Y77" s="3">
        <v>0.32402204137758905</v>
      </c>
      <c r="Z77" s="3">
        <v>0.27029999999999998</v>
      </c>
    </row>
    <row r="78" spans="1:26">
      <c r="A78" t="s">
        <v>275</v>
      </c>
      <c r="B78">
        <v>3</v>
      </c>
      <c r="C78" s="3">
        <v>0.12423333333333333</v>
      </c>
      <c r="D78" s="3">
        <v>5.7090145178722691E-2</v>
      </c>
      <c r="E78" s="3">
        <v>9.6174544302176548E-2</v>
      </c>
      <c r="F78" s="3">
        <v>0</v>
      </c>
      <c r="G78" s="65">
        <v>0.24098169552288884</v>
      </c>
      <c r="H78" s="65">
        <v>0.83801497962970528</v>
      </c>
      <c r="I78" s="3">
        <v>8.8578089790004505E-2</v>
      </c>
      <c r="J78" s="3">
        <v>0.39785998397496214</v>
      </c>
      <c r="K78" s="3">
        <v>5.5E-2</v>
      </c>
      <c r="L78" s="3">
        <v>0.76762233709685423</v>
      </c>
      <c r="M78" s="3">
        <v>5.2247990895071483E-2</v>
      </c>
      <c r="N78" s="65">
        <v>1.5914803168514429</v>
      </c>
      <c r="O78" s="65">
        <v>0.54994654147614319</v>
      </c>
      <c r="P78" s="65">
        <v>4.8112747740259056</v>
      </c>
      <c r="Q78" s="65">
        <v>9.4223053989184908</v>
      </c>
      <c r="R78" s="65">
        <v>0.54937207352345419</v>
      </c>
      <c r="S78" s="65">
        <v>7.086078039072091</v>
      </c>
      <c r="T78" s="3">
        <v>0.13332431037672471</v>
      </c>
      <c r="U78" s="3">
        <v>-5.3268306017885516E-3</v>
      </c>
      <c r="V78" s="3">
        <v>8.5634803945433807E-3</v>
      </c>
      <c r="W78" s="3">
        <v>1.0500968085452227</v>
      </c>
      <c r="X78" s="3">
        <v>0.1980977052337177</v>
      </c>
      <c r="Y78" s="3">
        <v>0</v>
      </c>
      <c r="Z78" s="3">
        <v>2.9499999999999998E-2</v>
      </c>
    </row>
    <row r="79" spans="1:26">
      <c r="A79" t="s">
        <v>276</v>
      </c>
      <c r="B79">
        <v>68</v>
      </c>
      <c r="C79" s="3">
        <v>8.8798913043478242E-2</v>
      </c>
      <c r="D79" s="3">
        <v>0.29741016095969874</v>
      </c>
      <c r="E79" s="3">
        <v>0.1851707902340006</v>
      </c>
      <c r="F79" s="3">
        <v>8.1819268803683717E-2</v>
      </c>
      <c r="G79" s="65">
        <v>1.482487600703569</v>
      </c>
      <c r="H79" s="65">
        <v>1.6077462586340689</v>
      </c>
      <c r="I79" s="3">
        <v>0.13430012776286371</v>
      </c>
      <c r="J79" s="3">
        <v>0.38404265117692143</v>
      </c>
      <c r="K79" s="3">
        <v>5.5E-2</v>
      </c>
      <c r="L79" s="3">
        <v>0.10124985178257215</v>
      </c>
      <c r="M79" s="3">
        <v>0.12487881611852436</v>
      </c>
      <c r="N79" s="65">
        <v>0.72201005886116498</v>
      </c>
      <c r="O79" s="65">
        <v>4.9757982826069913</v>
      </c>
      <c r="P79" s="65">
        <v>12.655041430895425</v>
      </c>
      <c r="Q79" s="65">
        <v>19.336945230156992</v>
      </c>
      <c r="R79" s="65">
        <v>3.7932462671985561</v>
      </c>
      <c r="S79" s="65">
        <v>29.657290214296978</v>
      </c>
      <c r="T79" s="3">
        <v>0.2033162539524809</v>
      </c>
      <c r="U79" s="3">
        <v>0.1606080271258418</v>
      </c>
      <c r="V79" s="3">
        <v>9.4211405166161985E-2</v>
      </c>
      <c r="W79" s="3">
        <v>0.68561846994152498</v>
      </c>
      <c r="X79" s="3">
        <v>0.22766391058991867</v>
      </c>
      <c r="Y79" s="3">
        <v>0.32844198803414559</v>
      </c>
      <c r="Z79" s="3">
        <v>0.39729999999999999</v>
      </c>
    </row>
    <row r="80" spans="1:26">
      <c r="A80" t="s">
        <v>277</v>
      </c>
      <c r="B80">
        <v>30</v>
      </c>
      <c r="C80" s="3">
        <v>0.15696923076923081</v>
      </c>
      <c r="D80" s="3">
        <v>0.28958915646776945</v>
      </c>
      <c r="E80" s="3">
        <v>0.38166166267508272</v>
      </c>
      <c r="F80" s="3">
        <v>0.10936898430604083</v>
      </c>
      <c r="G80" s="65">
        <v>1.6144255857412013</v>
      </c>
      <c r="H80" s="65">
        <v>1.757142721715889</v>
      </c>
      <c r="I80" s="3">
        <v>0.1431742776699238</v>
      </c>
      <c r="J80" s="3">
        <v>0.41568723029676519</v>
      </c>
      <c r="K80" s="3">
        <v>5.5E-2</v>
      </c>
      <c r="L80" s="3">
        <v>0.10544019640189742</v>
      </c>
      <c r="M80" s="3">
        <v>0.13242736181428552</v>
      </c>
      <c r="N80" s="65">
        <v>1.5108753291051042</v>
      </c>
      <c r="O80" s="65">
        <v>3.6641302435732546</v>
      </c>
      <c r="P80" s="65">
        <v>11.777235010380455</v>
      </c>
      <c r="Q80" s="65">
        <v>13.342294844275649</v>
      </c>
      <c r="R80" s="65">
        <v>6.3977805113469159</v>
      </c>
      <c r="S80" s="65">
        <v>20.068843491664495</v>
      </c>
      <c r="T80" s="3">
        <v>0.3428701992540078</v>
      </c>
      <c r="U80" s="3">
        <v>1.1627942992143444E-2</v>
      </c>
      <c r="V80" s="3">
        <v>0.15241894968668626</v>
      </c>
      <c r="W80" s="3">
        <v>1.0589803717525832</v>
      </c>
      <c r="X80" s="3">
        <v>0.46515933713298008</v>
      </c>
      <c r="Y80" s="3">
        <v>0.14247023533039754</v>
      </c>
      <c r="Z80" s="3">
        <v>0.60150000000000003</v>
      </c>
    </row>
    <row r="81" spans="1:26">
      <c r="A81" t="s">
        <v>278</v>
      </c>
      <c r="B81">
        <v>8</v>
      </c>
      <c r="C81" s="3">
        <v>0.15536666666666668</v>
      </c>
      <c r="D81" s="3">
        <v>0.26012732173864195</v>
      </c>
      <c r="E81" s="3">
        <v>0.2879125341055872</v>
      </c>
      <c r="F81" s="3">
        <v>6.2322052474713847E-2</v>
      </c>
      <c r="G81" s="65">
        <v>0.73008659019593591</v>
      </c>
      <c r="H81" s="65">
        <v>0.94373863184759688</v>
      </c>
      <c r="I81" s="3">
        <v>9.4858074731747261E-2</v>
      </c>
      <c r="J81" s="3">
        <v>0.4116087861322939</v>
      </c>
      <c r="K81" s="3">
        <v>5.5E-2</v>
      </c>
      <c r="L81" s="3">
        <v>0.28067166925935105</v>
      </c>
      <c r="M81" s="3">
        <v>7.9811806911007713E-2</v>
      </c>
      <c r="N81" s="65">
        <v>1.1661301455364754</v>
      </c>
      <c r="O81" s="65">
        <v>1.072671629219107</v>
      </c>
      <c r="P81" s="65">
        <v>3.2815362092121219</v>
      </c>
      <c r="Q81" s="65">
        <v>4.0638748800590418</v>
      </c>
      <c r="R81" s="65">
        <v>1.0608776649134781</v>
      </c>
      <c r="S81" s="65">
        <v>10.015502901810539</v>
      </c>
      <c r="T81" s="3">
        <v>9.3958615753230112E-2</v>
      </c>
      <c r="U81" s="3">
        <v>7.1007492284571178E-2</v>
      </c>
      <c r="V81" s="3">
        <v>1.5116725465492238E-3</v>
      </c>
      <c r="W81" s="3">
        <v>5.9835331655272899E-3</v>
      </c>
      <c r="X81" s="3">
        <v>0.352900093688783</v>
      </c>
      <c r="Y81" s="3">
        <v>0.12371482357484191</v>
      </c>
      <c r="Z81" s="3">
        <v>2.69E-2</v>
      </c>
    </row>
    <row r="82" spans="1:26">
      <c r="A82" t="s">
        <v>279</v>
      </c>
      <c r="B82">
        <v>13</v>
      </c>
      <c r="C82" s="3">
        <v>0.11900000000000001</v>
      </c>
      <c r="D82" s="3">
        <v>0.14071735590918197</v>
      </c>
      <c r="E82" s="3">
        <v>0.3342396344576759</v>
      </c>
      <c r="F82" s="3">
        <v>0.10698367731914769</v>
      </c>
      <c r="G82" s="65">
        <v>1.2436171828026032</v>
      </c>
      <c r="H82" s="65">
        <v>1.3276925338648697</v>
      </c>
      <c r="I82" s="3">
        <v>0.11766493651157327</v>
      </c>
      <c r="J82" s="3">
        <v>0.39374185918980237</v>
      </c>
      <c r="K82" s="3">
        <v>5.5E-2</v>
      </c>
      <c r="L82" s="3">
        <v>8.2687179007953762E-2</v>
      </c>
      <c r="M82" s="3">
        <v>0.11134640097735939</v>
      </c>
      <c r="N82" s="65">
        <v>2.9142709053503486</v>
      </c>
      <c r="O82" s="65">
        <v>3.2197253108411452</v>
      </c>
      <c r="P82" s="65">
        <v>20.228666883751565</v>
      </c>
      <c r="Q82" s="65">
        <v>25.052228696194703</v>
      </c>
      <c r="R82" s="65">
        <v>9.0441903847060985</v>
      </c>
      <c r="S82" s="65">
        <v>13.494158283376812</v>
      </c>
      <c r="T82" s="3">
        <v>0.24978584094939296</v>
      </c>
      <c r="U82" s="3">
        <v>-2.1254624249029949E-2</v>
      </c>
      <c r="V82" s="3">
        <v>2.2399777105094363E-2</v>
      </c>
      <c r="W82" s="3">
        <v>0.48818130917890407</v>
      </c>
      <c r="X82" s="3">
        <v>0.36283302620850871</v>
      </c>
      <c r="Y82" s="3">
        <v>0.26914232272981153</v>
      </c>
      <c r="Z82" s="3">
        <v>0.24390000000000001</v>
      </c>
    </row>
    <row r="83" spans="1:26">
      <c r="A83" t="s">
        <v>280</v>
      </c>
      <c r="B83">
        <v>91</v>
      </c>
      <c r="C83" s="3">
        <v>0.30379758620689651</v>
      </c>
      <c r="D83" s="3">
        <v>0.33550141767523534</v>
      </c>
      <c r="E83" s="3">
        <v>0.21872362118463728</v>
      </c>
      <c r="F83" s="3">
        <v>3.81657195507904E-2</v>
      </c>
      <c r="G83" s="65">
        <v>1.3161686143310263</v>
      </c>
      <c r="H83" s="65">
        <v>1.363575730964357</v>
      </c>
      <c r="I83" s="3">
        <v>0.11979639841928282</v>
      </c>
      <c r="J83" s="3">
        <v>0.58709543871584413</v>
      </c>
      <c r="K83" s="3">
        <v>5.8800000000000005E-2</v>
      </c>
      <c r="L83" s="3">
        <v>4.5824628286418652E-2</v>
      </c>
      <c r="M83" s="3">
        <v>0.11632763909909853</v>
      </c>
      <c r="N83" s="65">
        <v>0.78139743738989276</v>
      </c>
      <c r="O83" s="65">
        <v>3.5922880547988676</v>
      </c>
      <c r="P83" s="65">
        <v>10.654085080406665</v>
      </c>
      <c r="Q83" s="65">
        <v>13.78633819467794</v>
      </c>
      <c r="R83" s="65">
        <v>3.7956325817017307</v>
      </c>
      <c r="S83" s="65">
        <v>105.43298269537888</v>
      </c>
      <c r="T83" s="3">
        <v>6.6824362083113348E-2</v>
      </c>
      <c r="U83" s="3">
        <v>9.9365057264658149E-2</v>
      </c>
      <c r="V83" s="3">
        <v>0.14039023756413552</v>
      </c>
      <c r="W83" s="3">
        <v>0.67179783899472612</v>
      </c>
      <c r="X83" s="3">
        <v>0.22766341753018665</v>
      </c>
      <c r="Y83" s="3">
        <v>6.5514772970139145E-4</v>
      </c>
      <c r="Z83" s="3">
        <v>0.1118</v>
      </c>
    </row>
    <row r="84" spans="1:26">
      <c r="A84" t="s">
        <v>281</v>
      </c>
      <c r="B84">
        <v>33</v>
      </c>
      <c r="C84" s="3">
        <v>0.25942999999999999</v>
      </c>
      <c r="D84" s="3">
        <v>0.11303774138170834</v>
      </c>
      <c r="E84" s="3">
        <v>-1.0250823148619595E-2</v>
      </c>
      <c r="F84" s="3">
        <v>2.3650263887898121E-2</v>
      </c>
      <c r="G84" s="65">
        <v>1.3699081533300299</v>
      </c>
      <c r="H84" s="65">
        <v>1.5513058877107246</v>
      </c>
      <c r="I84" s="3">
        <v>0.13094756973001703</v>
      </c>
      <c r="J84" s="3">
        <v>0.55243837546789154</v>
      </c>
      <c r="K84" s="3">
        <v>5.8800000000000005E-2</v>
      </c>
      <c r="L84" s="3">
        <v>0.15006072569661108</v>
      </c>
      <c r="M84" s="3">
        <v>0.11791516039134364</v>
      </c>
      <c r="N84" s="65">
        <v>0.66506973987158913</v>
      </c>
      <c r="O84" s="65">
        <v>6.3326128080935904</v>
      </c>
      <c r="P84" s="65">
        <v>14.835872625839691</v>
      </c>
      <c r="Q84" s="65" t="s">
        <v>584</v>
      </c>
      <c r="R84" s="65">
        <v>5.2093469544507194</v>
      </c>
      <c r="S84" s="65">
        <v>28.698253036649461</v>
      </c>
      <c r="T84" s="3">
        <v>0.11330412713427597</v>
      </c>
      <c r="U84" s="3">
        <v>6.9501945918625185E-2</v>
      </c>
      <c r="V84" s="3">
        <v>0.11033018097918079</v>
      </c>
      <c r="W84" s="3" t="s">
        <v>584</v>
      </c>
      <c r="X84" s="3">
        <v>-0.15730842666696312</v>
      </c>
      <c r="Y84" s="3">
        <v>0</v>
      </c>
      <c r="Z84" s="3">
        <v>1.29E-2</v>
      </c>
    </row>
    <row r="85" spans="1:26">
      <c r="A85" t="s">
        <v>282</v>
      </c>
      <c r="B85">
        <v>390</v>
      </c>
      <c r="C85" s="3">
        <v>0.201011923076923</v>
      </c>
      <c r="D85" s="3">
        <v>0.30359087594394424</v>
      </c>
      <c r="E85" s="3">
        <v>0.22470721283664671</v>
      </c>
      <c r="F85" s="3">
        <v>3.395114353447462E-2</v>
      </c>
      <c r="G85" s="65">
        <v>1.3733143912116959</v>
      </c>
      <c r="H85" s="65">
        <v>1.4697712402478267</v>
      </c>
      <c r="I85" s="3">
        <v>0.1261044116707209</v>
      </c>
      <c r="J85" s="3">
        <v>0.52111210183577161</v>
      </c>
      <c r="K85" s="3">
        <v>5.8800000000000005E-2</v>
      </c>
      <c r="L85" s="3">
        <v>8.562961432885291E-2</v>
      </c>
      <c r="M85" s="3">
        <v>0.11908240552609259</v>
      </c>
      <c r="N85" s="65">
        <v>0.95920716659429495</v>
      </c>
      <c r="O85" s="65">
        <v>7.587550224240557</v>
      </c>
      <c r="P85" s="65">
        <v>21.327869033251581</v>
      </c>
      <c r="Q85" s="65">
        <v>31.832828872759528</v>
      </c>
      <c r="R85" s="65">
        <v>8.3878140324533863</v>
      </c>
      <c r="S85" s="65">
        <v>103.73573705984646</v>
      </c>
      <c r="T85" s="3">
        <v>0.13026992114930669</v>
      </c>
      <c r="U85" s="3">
        <v>5.5987028224454942E-2</v>
      </c>
      <c r="V85" s="3">
        <v>0.21305367709810255</v>
      </c>
      <c r="W85" s="3">
        <v>1.3763945807748532</v>
      </c>
      <c r="X85" s="3">
        <v>0.19683264162210642</v>
      </c>
      <c r="Y85" s="3">
        <v>0.34011176822892464</v>
      </c>
      <c r="Z85" s="3">
        <v>0.55989999999999995</v>
      </c>
    </row>
    <row r="86" spans="1:26">
      <c r="A86" t="s">
        <v>283</v>
      </c>
      <c r="B86">
        <v>28</v>
      </c>
      <c r="C86" s="3">
        <v>0.1520936</v>
      </c>
      <c r="D86" s="3">
        <v>0.20152456602549121</v>
      </c>
      <c r="E86" s="3">
        <v>0.48631538851966338</v>
      </c>
      <c r="F86" s="3">
        <v>0.14954162997616205</v>
      </c>
      <c r="G86" s="65">
        <v>1.1054137339148622</v>
      </c>
      <c r="H86" s="65">
        <v>1.3424843767995962</v>
      </c>
      <c r="I86" s="3">
        <v>0.11854357198189602</v>
      </c>
      <c r="J86" s="3">
        <v>0.38298957011173351</v>
      </c>
      <c r="K86" s="3">
        <v>5.5E-2</v>
      </c>
      <c r="L86" s="3">
        <v>0.22236540864885215</v>
      </c>
      <c r="M86" s="3">
        <v>0.10135615526221226</v>
      </c>
      <c r="N86" s="65">
        <v>2.8748481776829053</v>
      </c>
      <c r="O86" s="65">
        <v>0.67632769160090278</v>
      </c>
      <c r="P86" s="65">
        <v>2.9604690976503054</v>
      </c>
      <c r="Q86" s="65">
        <v>3.3903648016728862</v>
      </c>
      <c r="R86" s="65">
        <v>1.5077570630625767</v>
      </c>
      <c r="S86" s="65">
        <v>12.795287192941224</v>
      </c>
      <c r="T86" s="3">
        <v>0.19440238903246351</v>
      </c>
      <c r="U86" s="3">
        <v>5.5734411806729507E-2</v>
      </c>
      <c r="V86" s="3">
        <v>5.1297962917674897E-2</v>
      </c>
      <c r="W86" s="3">
        <v>0.48702789906679572</v>
      </c>
      <c r="X86" s="3">
        <v>0.53748067941265398</v>
      </c>
      <c r="Y86" s="3">
        <v>5.2465192388391764E-2</v>
      </c>
      <c r="Z86" s="3">
        <v>9.9000000000000008E-3</v>
      </c>
    </row>
    <row r="87" spans="1:26">
      <c r="A87" t="s">
        <v>284</v>
      </c>
      <c r="B87">
        <v>16</v>
      </c>
      <c r="C87" s="3">
        <v>0.1849777777777778</v>
      </c>
      <c r="D87" s="3">
        <v>0.20659483126379949</v>
      </c>
      <c r="E87" s="3">
        <v>6.1518831942779746E-2</v>
      </c>
      <c r="F87" s="3">
        <v>3.8302283114982148E-2</v>
      </c>
      <c r="G87" s="65">
        <v>0.69255212377664233</v>
      </c>
      <c r="H87" s="65">
        <v>1.0309737102652559</v>
      </c>
      <c r="I87" s="3">
        <v>0.10003983838975619</v>
      </c>
      <c r="J87" s="3">
        <v>0.51921047688999544</v>
      </c>
      <c r="K87" s="3">
        <v>5.8800000000000005E-2</v>
      </c>
      <c r="L87" s="3">
        <v>0.39450630773069012</v>
      </c>
      <c r="M87" s="3">
        <v>7.7971219291561963E-2</v>
      </c>
      <c r="N87" s="65">
        <v>0.52145758522578434</v>
      </c>
      <c r="O87" s="65">
        <v>3.1769575920264543</v>
      </c>
      <c r="P87" s="65">
        <v>8.7408928619052606</v>
      </c>
      <c r="Q87" s="65">
        <v>25.662492041051511</v>
      </c>
      <c r="R87" s="65">
        <v>2.1879318941731314</v>
      </c>
      <c r="S87" s="65">
        <v>30.246217685474839</v>
      </c>
      <c r="T87" s="3">
        <v>6.1437877786718699E-2</v>
      </c>
      <c r="U87" s="3">
        <v>3.5152271971679153E-2</v>
      </c>
      <c r="V87" s="3">
        <v>1.0400480070954753E-2</v>
      </c>
      <c r="W87" s="3">
        <v>0.62186778246157948</v>
      </c>
      <c r="X87" s="3">
        <v>2.9708054224260538E-2</v>
      </c>
      <c r="Y87" s="3">
        <v>6.2773294962541096E-2</v>
      </c>
      <c r="Z87" s="3">
        <v>2E-3</v>
      </c>
    </row>
    <row r="88" spans="1:26">
      <c r="A88" t="s">
        <v>285</v>
      </c>
      <c r="B88">
        <v>79</v>
      </c>
      <c r="C88" s="3">
        <v>3.5115849056603768E-2</v>
      </c>
      <c r="D88" s="3">
        <v>0.2181102821970933</v>
      </c>
      <c r="E88" s="3">
        <v>0.25986621816079664</v>
      </c>
      <c r="F88" s="3">
        <v>4.0571929767536014E-2</v>
      </c>
      <c r="G88" s="65">
        <v>1.1338118389771843</v>
      </c>
      <c r="H88" s="65">
        <v>1.2331194872073334</v>
      </c>
      <c r="I88" s="3">
        <v>0.11204729754011561</v>
      </c>
      <c r="J88" s="3">
        <v>0.41348753948301459</v>
      </c>
      <c r="K88" s="3">
        <v>5.5E-2</v>
      </c>
      <c r="L88" s="3">
        <v>0.10457107348559717</v>
      </c>
      <c r="M88" s="3">
        <v>0.10464394813646649</v>
      </c>
      <c r="N88" s="65">
        <v>1.4179419448565018</v>
      </c>
      <c r="O88" s="65">
        <v>3.5614434610706187</v>
      </c>
      <c r="P88" s="65">
        <v>14.699355157441362</v>
      </c>
      <c r="Q88" s="65">
        <v>19.000536879308321</v>
      </c>
      <c r="R88" s="65">
        <v>5.2013339028049375</v>
      </c>
      <c r="S88" s="65">
        <v>36.727247846578237</v>
      </c>
      <c r="T88" s="3">
        <v>0.23107855060632893</v>
      </c>
      <c r="U88" s="3">
        <v>3.3473393450261651E-2</v>
      </c>
      <c r="V88" s="3">
        <v>3.5153674659288023E-2</v>
      </c>
      <c r="W88" s="3">
        <v>0.49937335390514059</v>
      </c>
      <c r="X88" s="3">
        <v>0.20129140471295251</v>
      </c>
      <c r="Y88" s="3">
        <v>0.51065304447136584</v>
      </c>
      <c r="Z88" s="3">
        <v>0.48159999999999997</v>
      </c>
    </row>
    <row r="89" spans="1:26">
      <c r="A89" t="s">
        <v>286</v>
      </c>
      <c r="B89">
        <v>49</v>
      </c>
      <c r="C89" s="3">
        <v>0.1681304347826087</v>
      </c>
      <c r="D89" s="3">
        <v>0.20500933222374504</v>
      </c>
      <c r="E89" s="3">
        <v>0.12376739217567063</v>
      </c>
      <c r="F89" s="3">
        <v>6.5368083078363712E-2</v>
      </c>
      <c r="G89" s="65">
        <v>0.46857326594137827</v>
      </c>
      <c r="H89" s="65">
        <v>0.88226816528565966</v>
      </c>
      <c r="I89" s="3">
        <v>9.1206729017968183E-2</v>
      </c>
      <c r="J89" s="3">
        <v>0.55371695621592376</v>
      </c>
      <c r="K89" s="3">
        <v>5.8800000000000005E-2</v>
      </c>
      <c r="L89" s="3">
        <v>0.5406894051251091</v>
      </c>
      <c r="M89" s="3">
        <v>6.5736619727853246E-2</v>
      </c>
      <c r="N89" s="65">
        <v>0.66172943264450124</v>
      </c>
      <c r="O89" s="65">
        <v>2.1752246611284507</v>
      </c>
      <c r="P89" s="65">
        <v>5.9843541152342832</v>
      </c>
      <c r="Q89" s="65">
        <v>10.877670675991812</v>
      </c>
      <c r="R89" s="65">
        <v>1.2872958829659149</v>
      </c>
      <c r="S89" s="65">
        <v>145.85411391978104</v>
      </c>
      <c r="T89" s="3">
        <v>3.6739098538658686E-3</v>
      </c>
      <c r="U89" s="3">
        <v>-2.3647204248838035E-2</v>
      </c>
      <c r="V89" s="3">
        <v>5.7617506731433427E-2</v>
      </c>
      <c r="W89" s="3">
        <v>0.36159994195800516</v>
      </c>
      <c r="X89" s="3">
        <v>0.15757991803815463</v>
      </c>
      <c r="Y89" s="3">
        <v>0.51908621139657796</v>
      </c>
      <c r="Z89" s="3">
        <v>1.2464</v>
      </c>
    </row>
    <row r="90" spans="1:26">
      <c r="A90" t="s">
        <v>287</v>
      </c>
      <c r="B90">
        <v>15</v>
      </c>
      <c r="C90" s="3">
        <v>5.765E-2</v>
      </c>
      <c r="D90" s="3">
        <v>0.44235529653654487</v>
      </c>
      <c r="E90" s="3">
        <v>0.70880191137676474</v>
      </c>
      <c r="F90" s="3">
        <v>9.8330509025201351E-2</v>
      </c>
      <c r="G90" s="65">
        <v>1.6947053722747454</v>
      </c>
      <c r="H90" s="65">
        <v>2.0004565028386407</v>
      </c>
      <c r="I90" s="3">
        <v>0.15762711626861525</v>
      </c>
      <c r="J90" s="3">
        <v>0.44059235658259677</v>
      </c>
      <c r="K90" s="3">
        <v>5.5E-2</v>
      </c>
      <c r="L90" s="3">
        <v>0.19390853485149315</v>
      </c>
      <c r="M90" s="3">
        <v>0.1350606001627262</v>
      </c>
      <c r="N90" s="65">
        <v>1.7836862713219102</v>
      </c>
      <c r="O90" s="65">
        <v>5.0465098709256733</v>
      </c>
      <c r="P90" s="65">
        <v>10.761389721102821</v>
      </c>
      <c r="Q90" s="65">
        <v>11.467667597500895</v>
      </c>
      <c r="R90" s="65" t="s">
        <v>584</v>
      </c>
      <c r="S90" s="65">
        <v>13.550731442270219</v>
      </c>
      <c r="T90" s="3">
        <v>0.11365806683826973</v>
      </c>
      <c r="U90" s="3">
        <v>1.238721827891767E-2</v>
      </c>
      <c r="V90" s="3">
        <v>2.1105974212593085E-2</v>
      </c>
      <c r="W90" s="3">
        <v>7.8906399841948902E-2</v>
      </c>
      <c r="X90" s="3" t="s">
        <v>584</v>
      </c>
      <c r="Y90" s="3">
        <v>1.0717329039722374</v>
      </c>
      <c r="Z90" s="3">
        <v>0.77990000000000004</v>
      </c>
    </row>
    <row r="91" spans="1:26">
      <c r="A91" t="s">
        <v>288</v>
      </c>
      <c r="B91">
        <v>18</v>
      </c>
      <c r="C91" s="3">
        <v>0.14991818181818178</v>
      </c>
      <c r="D91" s="3">
        <v>9.9088771208119E-2</v>
      </c>
      <c r="E91" s="3">
        <v>0.24195399230782733</v>
      </c>
      <c r="F91" s="3">
        <v>0.16385816650202897</v>
      </c>
      <c r="G91" s="65">
        <v>0.8664890712658142</v>
      </c>
      <c r="H91" s="65">
        <v>1.058265749430396</v>
      </c>
      <c r="I91" s="3">
        <v>0.10166098551616552</v>
      </c>
      <c r="J91" s="3">
        <v>0.28046286808958065</v>
      </c>
      <c r="K91" s="3">
        <v>5.5E-2</v>
      </c>
      <c r="L91" s="3">
        <v>0.22785975576835596</v>
      </c>
      <c r="M91" s="3">
        <v>8.7895753110726366E-2</v>
      </c>
      <c r="N91" s="65">
        <v>3.0857818119673657</v>
      </c>
      <c r="O91" s="65">
        <v>1.0825416705307049</v>
      </c>
      <c r="P91" s="65">
        <v>7.6537113434500652</v>
      </c>
      <c r="Q91" s="65">
        <v>11.544187954700289</v>
      </c>
      <c r="R91" s="65">
        <v>4.2524702951679947</v>
      </c>
      <c r="S91" s="65">
        <v>23.851971943925097</v>
      </c>
      <c r="T91" s="3">
        <v>7.2192914926226481E-2</v>
      </c>
      <c r="U91" s="3">
        <v>2.2628756627930156E-2</v>
      </c>
      <c r="V91" s="3">
        <v>2.3385069645266855E-2</v>
      </c>
      <c r="W91" s="3">
        <v>0.50479787757270056</v>
      </c>
      <c r="X91" s="3">
        <v>0.36781742659330763</v>
      </c>
      <c r="Y91" s="3">
        <v>0.3344890410678481</v>
      </c>
      <c r="Z91" s="3">
        <v>0.52559999999999996</v>
      </c>
    </row>
    <row r="92" spans="1:26">
      <c r="A92" t="s">
        <v>289</v>
      </c>
      <c r="B92">
        <v>4</v>
      </c>
      <c r="C92" s="3">
        <v>3.783333333333333E-2</v>
      </c>
      <c r="D92" s="3">
        <v>0.40580423878501864</v>
      </c>
      <c r="E92" s="3">
        <v>0.16937779933759034</v>
      </c>
      <c r="F92" s="3">
        <v>0.16567959676788763</v>
      </c>
      <c r="G92" s="65">
        <v>0.91868772344799632</v>
      </c>
      <c r="H92" s="65">
        <v>1.1078308621714459</v>
      </c>
      <c r="I92" s="3">
        <v>0.10460515321298389</v>
      </c>
      <c r="J92" s="3">
        <v>0.16341269092106181</v>
      </c>
      <c r="K92" s="3">
        <v>4.7300000000000002E-2</v>
      </c>
      <c r="L92" s="3">
        <v>0.21538599902572655</v>
      </c>
      <c r="M92" s="3">
        <v>8.9715486100403821E-2</v>
      </c>
      <c r="N92" s="65">
        <v>0.50933785320283187</v>
      </c>
      <c r="O92" s="65">
        <v>6.3236145780689155</v>
      </c>
      <c r="P92" s="65">
        <v>12.476631341363998</v>
      </c>
      <c r="Q92" s="65">
        <v>15.865279366688831</v>
      </c>
      <c r="R92" s="65">
        <v>6.7532256135296347</v>
      </c>
      <c r="S92" s="65">
        <v>17.861577963998506</v>
      </c>
      <c r="T92" s="3">
        <v>1.3241792225468774E-2</v>
      </c>
      <c r="U92" s="3">
        <v>4.4470443723626116E-2</v>
      </c>
      <c r="V92" s="3">
        <v>5.5810927929796944E-2</v>
      </c>
      <c r="W92" s="3">
        <v>0.18857241896280746</v>
      </c>
      <c r="X92" s="3">
        <v>0.33555328592204903</v>
      </c>
      <c r="Y92" s="3">
        <v>0.35879470923219348</v>
      </c>
      <c r="Z92" s="3">
        <v>0.40550000000000003</v>
      </c>
    </row>
    <row r="93" spans="1:26">
      <c r="A93" t="s">
        <v>290</v>
      </c>
      <c r="B93">
        <v>35</v>
      </c>
      <c r="C93" s="3">
        <v>0.14159818181818185</v>
      </c>
      <c r="D93" s="3">
        <v>0.10918269769940719</v>
      </c>
      <c r="E93" s="3">
        <v>0.13529236520773816</v>
      </c>
      <c r="F93" s="3">
        <v>0.14785932618179476</v>
      </c>
      <c r="G93" s="65">
        <v>1.1623141111058857</v>
      </c>
      <c r="H93" s="65">
        <v>1.5451244708853058</v>
      </c>
      <c r="I93" s="3">
        <v>0.13058039357058715</v>
      </c>
      <c r="J93" s="3">
        <v>0.41171324567018758</v>
      </c>
      <c r="K93" s="3">
        <v>5.5E-2</v>
      </c>
      <c r="L93" s="3">
        <v>0.30513857374628695</v>
      </c>
      <c r="M93" s="3">
        <v>0.10332224468426371</v>
      </c>
      <c r="N93" s="65">
        <v>1.6609808041341676</v>
      </c>
      <c r="O93" s="65">
        <v>1.4513374895378339</v>
      </c>
      <c r="P93" s="65">
        <v>6.3383734793169006</v>
      </c>
      <c r="Q93" s="65">
        <v>11.6361932152168</v>
      </c>
      <c r="R93" s="65">
        <v>3.5261511856041166</v>
      </c>
      <c r="S93" s="65">
        <v>10.280924299605571</v>
      </c>
      <c r="T93" s="3">
        <v>5.4419109231104372E-2</v>
      </c>
      <c r="U93" s="3">
        <v>-8.6707710315732031E-2</v>
      </c>
      <c r="V93" s="3">
        <v>0.11041328797291604</v>
      </c>
      <c r="W93" s="3">
        <v>1.9266562984152134</v>
      </c>
      <c r="X93" s="3">
        <v>4.05361647492955E-2</v>
      </c>
      <c r="Y93" s="3">
        <v>0.35595744670464841</v>
      </c>
      <c r="Z93" s="3">
        <v>0.107</v>
      </c>
    </row>
    <row r="94" spans="1:26">
      <c r="A94" t="s">
        <v>291</v>
      </c>
      <c r="B94">
        <v>15</v>
      </c>
      <c r="C94" s="3">
        <v>4.0473333333333326E-2</v>
      </c>
      <c r="D94" s="3">
        <v>0.18526216632725648</v>
      </c>
      <c r="E94" s="3">
        <v>5.8204550746344036E-2</v>
      </c>
      <c r="F94" s="3">
        <v>0.13203047748326249</v>
      </c>
      <c r="G94" s="65">
        <v>0.40810531874715528</v>
      </c>
      <c r="H94" s="65">
        <v>0.63513941960164833</v>
      </c>
      <c r="I94" s="3">
        <v>7.6527281524337909E-2</v>
      </c>
      <c r="J94" s="3">
        <v>0.1497076220101746</v>
      </c>
      <c r="K94" s="3">
        <v>4.7300000000000002E-2</v>
      </c>
      <c r="L94" s="3">
        <v>0.42586480270208965</v>
      </c>
      <c r="M94" s="3">
        <v>5.9044559752505096E-2</v>
      </c>
      <c r="N94" s="65">
        <v>0.37229545825458882</v>
      </c>
      <c r="O94" s="65">
        <v>4.283399946079026</v>
      </c>
      <c r="P94" s="65">
        <v>13.745257053013487</v>
      </c>
      <c r="Q94" s="65">
        <v>23.7623070921024</v>
      </c>
      <c r="R94" s="65">
        <v>1.9179993201105874</v>
      </c>
      <c r="S94" s="65">
        <v>20.529372149088115</v>
      </c>
      <c r="T94" s="3">
        <v>8.922966654204853E-2</v>
      </c>
      <c r="U94" s="3">
        <v>0.19896841700046131</v>
      </c>
      <c r="V94" s="3">
        <v>0.19971639703486291</v>
      </c>
      <c r="W94" s="3">
        <v>1.5034787791370685</v>
      </c>
      <c r="X94" s="3">
        <v>0.11241118642718625</v>
      </c>
      <c r="Y94" s="3">
        <v>0.59281009443694932</v>
      </c>
      <c r="Z94" s="3">
        <v>0.76529999999999998</v>
      </c>
    </row>
    <row r="95" spans="1:26">
      <c r="A95" t="s">
        <v>292</v>
      </c>
      <c r="B95">
        <v>16</v>
      </c>
      <c r="C95" s="3">
        <v>0.14351818181818179</v>
      </c>
      <c r="D95" s="3">
        <v>0.3010914616121077</v>
      </c>
      <c r="E95" s="3">
        <v>9.129193880951407E-2</v>
      </c>
      <c r="F95" s="3">
        <v>8.4454307614074048E-2</v>
      </c>
      <c r="G95" s="65">
        <v>0.86943669074673013</v>
      </c>
      <c r="H95" s="65">
        <v>1.1524153536245123</v>
      </c>
      <c r="I95" s="3">
        <v>0.10725347200529603</v>
      </c>
      <c r="J95" s="3">
        <v>0.41373294388583098</v>
      </c>
      <c r="K95" s="3">
        <v>5.5E-2</v>
      </c>
      <c r="L95" s="3">
        <v>0.30263279217507999</v>
      </c>
      <c r="M95" s="3">
        <v>8.7278656979083574E-2</v>
      </c>
      <c r="N95" s="65">
        <v>0.25686429661316262</v>
      </c>
      <c r="O95" s="65">
        <v>9.1829445772175315</v>
      </c>
      <c r="P95" s="65">
        <v>20.002976875109358</v>
      </c>
      <c r="Q95" s="65">
        <v>31.139459378884858</v>
      </c>
      <c r="R95" s="65">
        <v>3.0872029616902905</v>
      </c>
      <c r="S95" s="65">
        <v>35.131453767610019</v>
      </c>
      <c r="T95" s="3">
        <v>0.11821847966647889</v>
      </c>
      <c r="U95" s="3">
        <v>0.96620245487575274</v>
      </c>
      <c r="V95" s="3">
        <v>0.40921399435778089</v>
      </c>
      <c r="W95" s="3">
        <v>1.7868875303324088</v>
      </c>
      <c r="X95" s="3">
        <v>0.16474700015176275</v>
      </c>
      <c r="Y95" s="3">
        <v>0.34685422173962976</v>
      </c>
      <c r="Z95" s="3">
        <v>0.55779999999999996</v>
      </c>
    </row>
    <row r="96" spans="1:26">
      <c r="M96" s="3"/>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98E5B5-A11D-40F9-BEBE-344B05ED50DC}">
  <sheetPr>
    <tabColor theme="4" tint="0.39997558519241921"/>
  </sheetPr>
  <dimension ref="A1:Z95"/>
  <sheetViews>
    <sheetView workbookViewId="0"/>
  </sheetViews>
  <sheetFormatPr defaultRowHeight="15"/>
  <cols>
    <col min="1" max="1" width="36.140625" bestFit="1" customWidth="1"/>
  </cols>
  <sheetData>
    <row r="1" spans="1:26" s="53" customFormat="1" ht="72">
      <c r="A1" s="26" t="s">
        <v>198</v>
      </c>
      <c r="B1" s="119" t="s">
        <v>562</v>
      </c>
      <c r="C1" s="121" t="s">
        <v>563</v>
      </c>
      <c r="D1" s="119" t="s">
        <v>564</v>
      </c>
      <c r="E1" s="121" t="s">
        <v>565</v>
      </c>
      <c r="F1" s="119" t="s">
        <v>566</v>
      </c>
      <c r="G1" s="119" t="s">
        <v>515</v>
      </c>
      <c r="H1" s="119" t="s">
        <v>567</v>
      </c>
      <c r="I1" s="119" t="s">
        <v>568</v>
      </c>
      <c r="J1" s="119" t="s">
        <v>569</v>
      </c>
      <c r="K1" s="119" t="s">
        <v>570</v>
      </c>
      <c r="L1" s="119" t="s">
        <v>571</v>
      </c>
      <c r="M1" s="119" t="s">
        <v>357</v>
      </c>
      <c r="N1" s="120" t="s">
        <v>572</v>
      </c>
      <c r="O1" s="119" t="s">
        <v>511</v>
      </c>
      <c r="P1" s="119" t="s">
        <v>573</v>
      </c>
      <c r="Q1" s="119" t="s">
        <v>574</v>
      </c>
      <c r="R1" s="119" t="s">
        <v>575</v>
      </c>
      <c r="S1" s="119" t="s">
        <v>576</v>
      </c>
      <c r="T1" s="119" t="s">
        <v>577</v>
      </c>
      <c r="U1" s="113" t="s">
        <v>578</v>
      </c>
      <c r="V1" s="119" t="s">
        <v>579</v>
      </c>
      <c r="W1" s="119" t="s">
        <v>580</v>
      </c>
      <c r="X1" s="69" t="s">
        <v>581</v>
      </c>
      <c r="Y1" s="69" t="s">
        <v>582</v>
      </c>
      <c r="Z1" s="69" t="s">
        <v>583</v>
      </c>
    </row>
    <row r="2" spans="1:26">
      <c r="A2" t="s">
        <v>199</v>
      </c>
      <c r="B2">
        <v>362</v>
      </c>
      <c r="C2" s="3">
        <v>7.349679425837323E-2</v>
      </c>
      <c r="D2" s="54">
        <v>0.10083451675678591</v>
      </c>
      <c r="E2" s="3">
        <v>0.21338723126336392</v>
      </c>
      <c r="F2" s="54">
        <v>0.14694787945259605</v>
      </c>
      <c r="G2" s="66">
        <v>1.0166301121285481</v>
      </c>
      <c r="H2" s="65">
        <v>1.2935834925393561</v>
      </c>
      <c r="I2" s="3">
        <v>0.14202796270464063</v>
      </c>
      <c r="J2" s="3">
        <v>0.39695739619251297</v>
      </c>
      <c r="K2" s="3">
        <v>6.9500000000000006E-2</v>
      </c>
      <c r="L2" s="3">
        <v>0.26559116619465917</v>
      </c>
      <c r="M2" s="3">
        <v>0.11821144332952692</v>
      </c>
      <c r="N2" s="65">
        <v>2.7111386724556512</v>
      </c>
      <c r="O2" s="65">
        <v>1.5118171161470773</v>
      </c>
      <c r="P2" s="65">
        <v>10.549458319666552</v>
      </c>
      <c r="Q2" s="65">
        <v>15.504367980070299</v>
      </c>
      <c r="R2" s="65">
        <v>2.3354620711493479</v>
      </c>
      <c r="S2" s="65">
        <v>39.759159058984224</v>
      </c>
      <c r="T2" s="3">
        <v>-2.6059629574481019E-2</v>
      </c>
      <c r="U2" s="54">
        <v>-8.9523825484201739E-3</v>
      </c>
      <c r="V2" s="3">
        <v>7.2159828874774857E-3</v>
      </c>
      <c r="W2" s="54">
        <v>0.27774109940881886</v>
      </c>
      <c r="X2" s="3">
        <v>0.10200864604262225</v>
      </c>
      <c r="Y2" s="3">
        <v>0.44451143385934094</v>
      </c>
      <c r="Z2" s="54">
        <v>0.34229999999999999</v>
      </c>
    </row>
    <row r="3" spans="1:26">
      <c r="A3" t="s">
        <v>200</v>
      </c>
      <c r="B3">
        <v>278</v>
      </c>
      <c r="C3" s="3">
        <v>7.3714201183431957E-2</v>
      </c>
      <c r="D3" s="54">
        <v>8.8333757060403126E-2</v>
      </c>
      <c r="E3" s="3">
        <v>0.12143702063274998</v>
      </c>
      <c r="F3" s="54">
        <v>0.10206462903742386</v>
      </c>
      <c r="G3" s="66">
        <v>0.98554390047755991</v>
      </c>
      <c r="H3" s="65">
        <v>1.1580552633554024</v>
      </c>
      <c r="I3" s="3">
        <v>0.13121281001576113</v>
      </c>
      <c r="J3" s="3">
        <v>0.36229340257411924</v>
      </c>
      <c r="K3" s="3">
        <v>6.9500000000000006E-2</v>
      </c>
      <c r="L3" s="3">
        <v>0.18855316790308613</v>
      </c>
      <c r="M3" s="3">
        <v>0.11634379756383052</v>
      </c>
      <c r="N3" s="65">
        <v>1.6921275153858071</v>
      </c>
      <c r="O3" s="65">
        <v>2.2626356260667349</v>
      </c>
      <c r="P3" s="65">
        <v>15.266315053274221</v>
      </c>
      <c r="Q3" s="65">
        <v>24.545448469832731</v>
      </c>
      <c r="R3" s="65">
        <v>4.3573233797524988</v>
      </c>
      <c r="S3" s="65">
        <v>69.873885510145371</v>
      </c>
      <c r="T3" s="3">
        <v>0.42343101384561821</v>
      </c>
      <c r="U3" s="54">
        <v>1.2612646382451399E-2</v>
      </c>
      <c r="V3" s="3">
        <v>9.3530759960407574E-3</v>
      </c>
      <c r="W3" s="54">
        <v>0.41378426559560244</v>
      </c>
      <c r="X3" s="3">
        <v>8.0355181939871512E-2</v>
      </c>
      <c r="Y3" s="3">
        <v>0.72951493462206618</v>
      </c>
      <c r="Z3" s="54">
        <v>0.76280000000000003</v>
      </c>
    </row>
    <row r="4" spans="1:26">
      <c r="A4" t="s">
        <v>201</v>
      </c>
      <c r="B4">
        <v>155</v>
      </c>
      <c r="C4" s="3">
        <v>-2.4202561983471073E-2</v>
      </c>
      <c r="D4" s="54">
        <v>1.4698266184388872E-2</v>
      </c>
      <c r="E4" s="3">
        <v>9.0355252665947575E-3</v>
      </c>
      <c r="F4" s="54">
        <v>8.7163981379620989E-2</v>
      </c>
      <c r="G4" s="66">
        <v>0.67564974086048279</v>
      </c>
      <c r="H4" s="65">
        <v>1.2354206917515256</v>
      </c>
      <c r="I4" s="3">
        <v>0.13738657120177172</v>
      </c>
      <c r="J4" s="3">
        <v>0.30863311861967929</v>
      </c>
      <c r="K4" s="3">
        <v>6.9500000000000006E-2</v>
      </c>
      <c r="L4" s="3">
        <v>0.52376822281143809</v>
      </c>
      <c r="M4" s="3">
        <v>9.2849395821210656E-2</v>
      </c>
      <c r="N4" s="65">
        <v>0.80542277986245103</v>
      </c>
      <c r="O4" s="65">
        <v>1.9367510184926524</v>
      </c>
      <c r="P4" s="65">
        <v>10.980475195113629</v>
      </c>
      <c r="Q4" s="65">
        <v>106.6657342055652</v>
      </c>
      <c r="R4" s="65">
        <v>2.9382894788056628</v>
      </c>
      <c r="S4" s="65">
        <v>75.856092154903067</v>
      </c>
      <c r="T4" s="3">
        <v>-3.5817592352555154E-2</v>
      </c>
      <c r="U4" s="54">
        <v>-2.1550757358998661E-2</v>
      </c>
      <c r="V4" s="3">
        <v>3.2559147510088392E-2</v>
      </c>
      <c r="W4" s="54">
        <v>9.5547125985183889</v>
      </c>
      <c r="X4" s="3">
        <v>-9.3242946827625517E-2</v>
      </c>
      <c r="Y4" s="3">
        <v>4.4191751889956421E-3</v>
      </c>
      <c r="Z4" s="54">
        <v>0.74880000000000002</v>
      </c>
    </row>
    <row r="5" spans="1:26">
      <c r="A5" t="s">
        <v>202</v>
      </c>
      <c r="B5">
        <v>1146</v>
      </c>
      <c r="C5" s="3">
        <v>4.6189893238434081E-2</v>
      </c>
      <c r="D5" s="54">
        <v>0.15023273684950555</v>
      </c>
      <c r="E5" s="3">
        <v>0.20093422274465472</v>
      </c>
      <c r="F5" s="54">
        <v>0.1492327301321428</v>
      </c>
      <c r="G5" s="66">
        <v>0.79384153715932892</v>
      </c>
      <c r="H5" s="65">
        <v>0.90237888995411852</v>
      </c>
      <c r="I5" s="3">
        <v>0.11080983541833865</v>
      </c>
      <c r="J5" s="3">
        <v>0.34781354412233134</v>
      </c>
      <c r="K5" s="3">
        <v>6.9500000000000006E-2</v>
      </c>
      <c r="L5" s="3">
        <v>0.15361852401854517</v>
      </c>
      <c r="M5" s="3">
        <v>0.10182999002758587</v>
      </c>
      <c r="N5" s="65">
        <v>1.5806190152148958</v>
      </c>
      <c r="O5" s="65">
        <v>2.3572313228368644</v>
      </c>
      <c r="P5" s="65">
        <v>12.584665934703455</v>
      </c>
      <c r="Q5" s="65">
        <v>15.486602949046972</v>
      </c>
      <c r="R5" s="65">
        <v>3.6309023837854668</v>
      </c>
      <c r="S5" s="65">
        <v>73.56324390422597</v>
      </c>
      <c r="T5" s="3">
        <v>0.21493944316933722</v>
      </c>
      <c r="U5" s="54">
        <v>6.7615443487588939E-2</v>
      </c>
      <c r="V5" s="3">
        <v>1.6666737691856361E-2</v>
      </c>
      <c r="W5" s="54">
        <v>0.4898760232758958</v>
      </c>
      <c r="X5" s="3">
        <v>0.15307722601657631</v>
      </c>
      <c r="Y5" s="3">
        <v>0.4288308576857397</v>
      </c>
      <c r="Z5" s="54">
        <v>0.64700000000000002</v>
      </c>
    </row>
    <row r="6" spans="1:26">
      <c r="A6" t="s">
        <v>203</v>
      </c>
      <c r="B6">
        <v>154</v>
      </c>
      <c r="C6" s="3">
        <v>8.2065959595959595E-2</v>
      </c>
      <c r="D6" s="54">
        <v>6.9446306384367024E-2</v>
      </c>
      <c r="E6" s="3">
        <v>5.3357693453791086E-2</v>
      </c>
      <c r="F6" s="54">
        <v>0.11318086969170088</v>
      </c>
      <c r="G6" s="66">
        <v>0.8697761896886117</v>
      </c>
      <c r="H6" s="65">
        <v>1.3526231349119202</v>
      </c>
      <c r="I6" s="3">
        <v>0.14673932616597124</v>
      </c>
      <c r="J6" s="3">
        <v>0.33896789399772925</v>
      </c>
      <c r="K6" s="3">
        <v>6.9500000000000006E-2</v>
      </c>
      <c r="L6" s="3">
        <v>0.42427592940792425</v>
      </c>
      <c r="M6" s="3">
        <v>0.10669405268100901</v>
      </c>
      <c r="N6" s="65">
        <v>0.92471336879470623</v>
      </c>
      <c r="O6" s="65">
        <v>1.082392518093318</v>
      </c>
      <c r="P6" s="65">
        <v>9.2030884541139262</v>
      </c>
      <c r="Q6" s="65">
        <v>15.835554573844876</v>
      </c>
      <c r="R6" s="65">
        <v>1.2924319609024459</v>
      </c>
      <c r="S6" s="65">
        <v>27.781838175350082</v>
      </c>
      <c r="T6" s="3">
        <v>7.9713074350257086E-3</v>
      </c>
      <c r="U6" s="54">
        <v>3.0356457541861143E-2</v>
      </c>
      <c r="V6" s="3">
        <v>2.7560794421056058E-2</v>
      </c>
      <c r="W6" s="54">
        <v>0.501947218801582</v>
      </c>
      <c r="X6" s="3">
        <v>0.11518174528970851</v>
      </c>
      <c r="Y6" s="3">
        <v>0.22505595545281412</v>
      </c>
      <c r="Z6" s="54">
        <v>0.79990000000000006</v>
      </c>
    </row>
    <row r="7" spans="1:26">
      <c r="A7" t="s">
        <v>204</v>
      </c>
      <c r="B7">
        <v>746</v>
      </c>
      <c r="C7" s="3">
        <v>5.157986111111109E-2</v>
      </c>
      <c r="D7" s="54">
        <v>3.9108522048210789E-2</v>
      </c>
      <c r="E7" s="3">
        <v>4.222860068434426E-2</v>
      </c>
      <c r="F7" s="54">
        <v>0.16874944521173871</v>
      </c>
      <c r="G7" s="66">
        <v>1.1166133952889368</v>
      </c>
      <c r="H7" s="65">
        <v>1.4130101599580891</v>
      </c>
      <c r="I7" s="3">
        <v>0.1515582107646555</v>
      </c>
      <c r="J7" s="3">
        <v>0.31499751482799093</v>
      </c>
      <c r="K7" s="3">
        <v>6.9500000000000006E-2</v>
      </c>
      <c r="L7" s="3">
        <v>0.26055904721279227</v>
      </c>
      <c r="M7" s="3">
        <v>0.12570974732398635</v>
      </c>
      <c r="N7" s="65">
        <v>1.4689858860581844</v>
      </c>
      <c r="O7" s="65">
        <v>0.8305830591776443</v>
      </c>
      <c r="P7" s="65">
        <v>9.4666196581639355</v>
      </c>
      <c r="Q7" s="65">
        <v>21.860840601324096</v>
      </c>
      <c r="R7" s="65">
        <v>1.3917099071259258</v>
      </c>
      <c r="S7" s="65">
        <v>39.301868735316567</v>
      </c>
      <c r="T7" s="3">
        <v>0.13142619927912766</v>
      </c>
      <c r="U7" s="54">
        <v>2.6259069392558291E-2</v>
      </c>
      <c r="V7" s="3">
        <v>3.1668608532252063E-2</v>
      </c>
      <c r="W7" s="54">
        <v>2.0647634316505332</v>
      </c>
      <c r="X7" s="3">
        <v>5.2512079188338168E-2</v>
      </c>
      <c r="Y7" s="3">
        <v>0.51852413385931106</v>
      </c>
      <c r="Z7" s="54">
        <v>1.2312000000000001</v>
      </c>
    </row>
    <row r="8" spans="1:26">
      <c r="A8" t="s">
        <v>205</v>
      </c>
      <c r="B8">
        <v>596</v>
      </c>
      <c r="C8" s="3">
        <v>0.10534848197343455</v>
      </c>
      <c r="D8" s="54">
        <v>6.9381136792488283E-3</v>
      </c>
      <c r="E8" s="3">
        <v>4.1684616383614826E-5</v>
      </c>
      <c r="F8" s="54">
        <v>0.20949352175828576</v>
      </c>
      <c r="G8" s="66">
        <v>0.2682251288561191</v>
      </c>
      <c r="H8" s="65">
        <v>0.87521547410293199</v>
      </c>
      <c r="I8" s="3">
        <v>0.10864219483341397</v>
      </c>
      <c r="J8" s="3">
        <v>0.21675380851065218</v>
      </c>
      <c r="K8" s="3">
        <v>6.1800000000000001E-2</v>
      </c>
      <c r="L8" s="3">
        <v>0.75025597377956421</v>
      </c>
      <c r="M8" s="3">
        <v>6.2060110743097238E-2</v>
      </c>
      <c r="N8" s="65">
        <v>0.14023331329651406</v>
      </c>
      <c r="O8" s="65">
        <v>6.6890452219127399</v>
      </c>
      <c r="P8" s="65" t="s">
        <v>584</v>
      </c>
      <c r="Q8" s="65" t="s">
        <v>584</v>
      </c>
      <c r="R8" s="65">
        <v>0.81285190398027118</v>
      </c>
      <c r="S8" s="65">
        <v>13.739133910974902</v>
      </c>
      <c r="T8" t="s">
        <v>584</v>
      </c>
      <c r="U8" s="54">
        <v>3.1613624335839467E-2</v>
      </c>
      <c r="V8" s="3">
        <v>3.4360841059937627E-2</v>
      </c>
      <c r="W8" s="54">
        <v>84.189822596779209</v>
      </c>
      <c r="X8" s="3">
        <v>1.033504286307702E-2</v>
      </c>
      <c r="Y8" s="3">
        <v>0.33483400470597052</v>
      </c>
      <c r="Z8" s="54">
        <v>33.143700000000003</v>
      </c>
    </row>
    <row r="9" spans="1:26">
      <c r="A9" t="s">
        <v>206</v>
      </c>
      <c r="B9">
        <v>800</v>
      </c>
      <c r="C9" s="3">
        <v>9.0058796992481246E-2</v>
      </c>
      <c r="D9" s="54">
        <v>9.2099650386654203E-3</v>
      </c>
      <c r="E9" s="3">
        <v>-3.6680349455871644E-5</v>
      </c>
      <c r="F9" s="54">
        <v>0.19185771795778675</v>
      </c>
      <c r="G9" s="66">
        <v>0.22949062462033154</v>
      </c>
      <c r="H9" s="65">
        <v>0.56387028942928497</v>
      </c>
      <c r="I9" s="3">
        <v>8.3796849096456932E-2</v>
      </c>
      <c r="J9" s="3">
        <v>0.17830180346656344</v>
      </c>
      <c r="K9" s="3">
        <v>6.1800000000000001E-2</v>
      </c>
      <c r="L9" s="3">
        <v>0.6591944805456077</v>
      </c>
      <c r="M9" s="3">
        <v>5.9246528980610717E-2</v>
      </c>
      <c r="N9" s="65">
        <v>0.19352947870025708</v>
      </c>
      <c r="O9" s="65">
        <v>5.5045747643571437</v>
      </c>
      <c r="P9" s="65" t="s">
        <v>584</v>
      </c>
      <c r="Q9" s="65" t="s">
        <v>584</v>
      </c>
      <c r="R9" s="65">
        <v>0.89188417325568681</v>
      </c>
      <c r="S9" s="65">
        <v>20.711981486924902</v>
      </c>
      <c r="T9" t="s">
        <v>584</v>
      </c>
      <c r="U9" s="54">
        <v>7.984463977211817E-2</v>
      </c>
      <c r="V9" s="3">
        <v>-1.3115480793971833E-2</v>
      </c>
      <c r="W9" s="54" t="s">
        <v>584</v>
      </c>
      <c r="X9" s="3">
        <v>9.0436939806665881E-2</v>
      </c>
      <c r="Y9" s="3">
        <v>0.27524500019645759</v>
      </c>
      <c r="Z9" s="54" t="s">
        <v>584</v>
      </c>
    </row>
    <row r="10" spans="1:26">
      <c r="A10" t="s">
        <v>207</v>
      </c>
      <c r="B10">
        <v>220</v>
      </c>
      <c r="C10" s="3">
        <v>9.1329397590361447E-2</v>
      </c>
      <c r="D10" s="54">
        <v>0.22281962829883367</v>
      </c>
      <c r="E10" s="3">
        <v>0.13930925191772361</v>
      </c>
      <c r="F10" s="54">
        <v>0.17138891309925858</v>
      </c>
      <c r="G10" s="66">
        <v>0.77638201633197823</v>
      </c>
      <c r="H10" s="65">
        <v>0.87215644318047292</v>
      </c>
      <c r="I10" s="3">
        <v>0.10839808416580174</v>
      </c>
      <c r="J10" s="3">
        <v>0.28571957625212252</v>
      </c>
      <c r="K10" s="3">
        <v>6.9500000000000006E-2</v>
      </c>
      <c r="L10" s="3">
        <v>0.14071582488908002</v>
      </c>
      <c r="M10" s="3">
        <v>0.10051184388279662</v>
      </c>
      <c r="N10" s="65">
        <v>0.76562332653538567</v>
      </c>
      <c r="O10" s="65">
        <v>4.3322948155441683</v>
      </c>
      <c r="P10" s="65">
        <v>16.172276414424015</v>
      </c>
      <c r="Q10" s="65">
        <v>19.503078091482607</v>
      </c>
      <c r="R10" s="65">
        <v>3.5736745890053765</v>
      </c>
      <c r="S10" s="65">
        <v>69.351610119440252</v>
      </c>
      <c r="T10" s="3">
        <v>8.6871480757296365E-2</v>
      </c>
      <c r="U10" s="54">
        <v>3.8145715766077009E-3</v>
      </c>
      <c r="V10" s="3">
        <v>9.4143632278324684E-3</v>
      </c>
      <c r="W10" s="54">
        <v>1.6495762907882471E-2</v>
      </c>
      <c r="X10" s="3">
        <v>0.14498308042811484</v>
      </c>
      <c r="Y10" s="3">
        <v>0.41804095988813733</v>
      </c>
      <c r="Z10" s="54">
        <v>0.1336</v>
      </c>
    </row>
    <row r="11" spans="1:26">
      <c r="A11" t="s">
        <v>208</v>
      </c>
      <c r="B11">
        <v>100</v>
      </c>
      <c r="C11" s="3">
        <v>9.0173050847457623E-2</v>
      </c>
      <c r="D11" s="54">
        <v>0.17000363387311385</v>
      </c>
      <c r="E11" s="3">
        <v>0.22610954818560502</v>
      </c>
      <c r="F11" s="54">
        <v>0.13376209970213782</v>
      </c>
      <c r="G11" s="66">
        <v>0.76704300510074819</v>
      </c>
      <c r="H11" s="65">
        <v>0.85590019190367983</v>
      </c>
      <c r="I11" s="3">
        <v>0.10710083531391365</v>
      </c>
      <c r="J11" s="3">
        <v>0.31052361417890234</v>
      </c>
      <c r="K11" s="3">
        <v>6.9500000000000006E-2</v>
      </c>
      <c r="L11" s="3">
        <v>0.13328497731995359</v>
      </c>
      <c r="M11" s="3">
        <v>9.9803951260501497E-2</v>
      </c>
      <c r="N11" s="65">
        <v>1.5704645257815757</v>
      </c>
      <c r="O11" s="65">
        <v>3.9033785429845778</v>
      </c>
      <c r="P11" s="65">
        <v>18.728439522644482</v>
      </c>
      <c r="Q11" s="65">
        <v>23.265881943355328</v>
      </c>
      <c r="R11" s="65">
        <v>6.6110537061224148</v>
      </c>
      <c r="S11" s="65">
        <v>44.957599605279952</v>
      </c>
      <c r="T11" s="3">
        <v>-6.4905246010984075E-2</v>
      </c>
      <c r="U11" s="54">
        <v>4.1359988705378374E-2</v>
      </c>
      <c r="V11" s="3">
        <v>4.1904157836908283E-2</v>
      </c>
      <c r="W11" s="54">
        <v>0.25833730543349975</v>
      </c>
      <c r="X11" s="3">
        <v>0.24708930327847395</v>
      </c>
      <c r="Y11" s="3">
        <v>0.54691572779078046</v>
      </c>
      <c r="Z11" s="54">
        <v>0.33129999999999998</v>
      </c>
    </row>
    <row r="12" spans="1:26">
      <c r="A12" t="s">
        <v>209</v>
      </c>
      <c r="B12">
        <v>135</v>
      </c>
      <c r="C12" s="3">
        <v>4.4277545454545458E-2</v>
      </c>
      <c r="D12" s="54">
        <v>0.13541664580273813</v>
      </c>
      <c r="E12" s="3">
        <v>0.1088653110194383</v>
      </c>
      <c r="F12" s="54">
        <v>0.16495354784780936</v>
      </c>
      <c r="G12" s="66">
        <v>0.65754350520533456</v>
      </c>
      <c r="H12" s="65">
        <v>1.0569743272387224</v>
      </c>
      <c r="I12" s="3">
        <v>0.12314655131365004</v>
      </c>
      <c r="J12" s="3">
        <v>0.34716622042674328</v>
      </c>
      <c r="K12" s="3">
        <v>6.9500000000000006E-2</v>
      </c>
      <c r="L12" s="3">
        <v>0.44641195523530475</v>
      </c>
      <c r="M12" s="3">
        <v>9.1544066309812211E-2</v>
      </c>
      <c r="N12" s="65">
        <v>0.99150565006743141</v>
      </c>
      <c r="O12" s="65">
        <v>1.2237022060163452</v>
      </c>
      <c r="P12" s="65">
        <v>6.4697537039324544</v>
      </c>
      <c r="Q12" s="65">
        <v>9.086302445486572</v>
      </c>
      <c r="R12" s="65">
        <v>0.81219028797507353</v>
      </c>
      <c r="S12" s="65">
        <v>22.857740397461747</v>
      </c>
      <c r="T12" s="3">
        <v>0.11378712797946409</v>
      </c>
      <c r="U12" s="54">
        <v>1.536153808767424E-2</v>
      </c>
      <c r="V12" s="3">
        <v>1.7539067116144117E-2</v>
      </c>
      <c r="W12" s="54">
        <v>1.3085560327270698</v>
      </c>
      <c r="X12" s="3">
        <v>0.2978111577675327</v>
      </c>
      <c r="Y12" s="3">
        <v>0.10093323840372377</v>
      </c>
      <c r="Z12" s="54">
        <v>0.64729999999999999</v>
      </c>
    </row>
    <row r="13" spans="1:26">
      <c r="A13" t="s">
        <v>210</v>
      </c>
      <c r="B13">
        <v>592</v>
      </c>
      <c r="C13" s="3">
        <v>0.10401919621749414</v>
      </c>
      <c r="D13" s="54">
        <v>2.7712596933156773E-2</v>
      </c>
      <c r="E13" s="3">
        <v>1.1237028657450701E-3</v>
      </c>
      <c r="F13" s="54">
        <v>0.14882513818935492</v>
      </c>
      <c r="G13" s="66">
        <v>0.35320936553950077</v>
      </c>
      <c r="H13" s="65">
        <v>0.99146242776310933</v>
      </c>
      <c r="I13" s="3">
        <v>0.11791870173549612</v>
      </c>
      <c r="J13" s="3">
        <v>0.34987613722148397</v>
      </c>
      <c r="K13" s="3">
        <v>6.9500000000000006E-2</v>
      </c>
      <c r="L13" s="3">
        <v>0.70577788318489221</v>
      </c>
      <c r="M13" s="3">
        <v>7.164483235522795E-2</v>
      </c>
      <c r="N13" s="65">
        <v>0.19322010265558867</v>
      </c>
      <c r="O13" s="65">
        <v>5.3692439869910435</v>
      </c>
      <c r="P13" s="65">
        <v>197.28291344916556</v>
      </c>
      <c r="Q13" s="65" t="s">
        <v>584</v>
      </c>
      <c r="R13" s="65">
        <v>1.2161813550455391</v>
      </c>
      <c r="S13" s="65">
        <v>60.949595545922598</v>
      </c>
      <c r="T13" s="3" t="s">
        <v>584</v>
      </c>
      <c r="U13" s="54">
        <v>-2.3799526575878373E-3</v>
      </c>
      <c r="V13" s="3">
        <v>-5.0229492121968318E-3</v>
      </c>
      <c r="W13" s="54">
        <v>-39.913584925845541</v>
      </c>
      <c r="X13" s="3">
        <v>9.2032782861292586E-2</v>
      </c>
      <c r="Y13" s="3">
        <v>0.5223993223618727</v>
      </c>
      <c r="Z13" s="54">
        <v>89.085800000000006</v>
      </c>
    </row>
    <row r="14" spans="1:26">
      <c r="A14" t="s">
        <v>211</v>
      </c>
      <c r="B14">
        <v>454</v>
      </c>
      <c r="C14" s="3">
        <v>7.6625747126436813E-2</v>
      </c>
      <c r="D14" s="54">
        <v>0.11037063400175288</v>
      </c>
      <c r="E14" s="3">
        <v>0.16368297461942438</v>
      </c>
      <c r="F14" s="54">
        <v>0.17672316160144674</v>
      </c>
      <c r="G14" s="66">
        <v>0.92953304900387257</v>
      </c>
      <c r="H14" s="65">
        <v>1.1065292223300869</v>
      </c>
      <c r="I14" s="3">
        <v>0.12710103194194095</v>
      </c>
      <c r="J14" s="3">
        <v>0.29868072216447483</v>
      </c>
      <c r="K14" s="3">
        <v>6.9500000000000006E-2</v>
      </c>
      <c r="L14" s="3">
        <v>0.20177093676880761</v>
      </c>
      <c r="M14" s="3">
        <v>0.11201932390615539</v>
      </c>
      <c r="N14" s="65">
        <v>1.851184271800939</v>
      </c>
      <c r="O14" s="65">
        <v>1.4390645957182182</v>
      </c>
      <c r="P14" s="65">
        <v>9.6623300164160995</v>
      </c>
      <c r="Q14" s="65">
        <v>13.03055848596199</v>
      </c>
      <c r="R14" s="65">
        <v>2.4062797893398473</v>
      </c>
      <c r="S14" s="65">
        <v>42.279983498123997</v>
      </c>
      <c r="T14" s="3">
        <v>0.17342708024407452</v>
      </c>
      <c r="U14" s="54">
        <v>3.2959674260180927E-2</v>
      </c>
      <c r="V14" s="3">
        <v>4.0279969081317146E-2</v>
      </c>
      <c r="W14" s="54">
        <v>0.86926825996365231</v>
      </c>
      <c r="X14" s="3">
        <v>0.15118080309483573</v>
      </c>
      <c r="Y14" s="3">
        <v>0.30296802718936278</v>
      </c>
      <c r="Z14" s="54">
        <v>0.88290000000000002</v>
      </c>
    </row>
    <row r="15" spans="1:26">
      <c r="A15" t="s">
        <v>212</v>
      </c>
      <c r="B15">
        <v>961</v>
      </c>
      <c r="C15" s="3">
        <v>7.7030524590164018E-2</v>
      </c>
      <c r="D15" s="54">
        <v>9.1665502540205959E-2</v>
      </c>
      <c r="E15" s="3">
        <v>0.19491986939558359</v>
      </c>
      <c r="F15" s="54">
        <v>0.16395074692763018</v>
      </c>
      <c r="G15" s="66">
        <v>0.93109939904845007</v>
      </c>
      <c r="H15" s="65">
        <v>1.0942430346454961</v>
      </c>
      <c r="I15" s="3">
        <v>0.12612059416471058</v>
      </c>
      <c r="J15" s="3">
        <v>0.35508042862954164</v>
      </c>
      <c r="K15" s="3">
        <v>6.9500000000000006E-2</v>
      </c>
      <c r="L15" s="3">
        <v>0.18870553380788824</v>
      </c>
      <c r="M15" s="3">
        <v>0.11220049568260584</v>
      </c>
      <c r="N15" s="65">
        <v>2.6318315409345043</v>
      </c>
      <c r="O15" s="65">
        <v>1.796327021989877</v>
      </c>
      <c r="P15" s="65">
        <v>13.458680230874046</v>
      </c>
      <c r="Q15" s="65">
        <v>20.232652391500991</v>
      </c>
      <c r="R15" s="65">
        <v>3.5572441534696142</v>
      </c>
      <c r="S15" s="65">
        <v>43.809952874708898</v>
      </c>
      <c r="T15" s="3">
        <v>9.7639902516069341E-2</v>
      </c>
      <c r="U15" s="54">
        <v>1.8732578896551822E-2</v>
      </c>
      <c r="V15" s="3">
        <v>4.3555397829954337E-2</v>
      </c>
      <c r="W15" s="54">
        <v>0.86727780133182975</v>
      </c>
      <c r="X15" s="3">
        <v>0.10173941306387643</v>
      </c>
      <c r="Y15" s="3">
        <v>0.54671438017820373</v>
      </c>
      <c r="Z15" s="54">
        <v>0.53510000000000002</v>
      </c>
    </row>
    <row r="16" spans="1:26">
      <c r="A16" t="s">
        <v>213</v>
      </c>
      <c r="B16">
        <v>54</v>
      </c>
      <c r="C16" s="3">
        <v>4.2067906976744174E-2</v>
      </c>
      <c r="D16" s="54">
        <v>0.20240279046871032</v>
      </c>
      <c r="E16" s="3">
        <v>0.12652466179683763</v>
      </c>
      <c r="F16" s="54">
        <v>0.13227912597836108</v>
      </c>
      <c r="G16" s="66">
        <v>0.58953409203008889</v>
      </c>
      <c r="H16" s="65">
        <v>1.0239833762823261</v>
      </c>
      <c r="I16" s="3">
        <v>0.12051387342732961</v>
      </c>
      <c r="J16" s="3">
        <v>0.26282180998895055</v>
      </c>
      <c r="K16" s="3">
        <v>6.9500000000000006E-2</v>
      </c>
      <c r="L16" s="3">
        <v>0.49450981804764355</v>
      </c>
      <c r="M16" s="3">
        <v>8.680831989906676E-2</v>
      </c>
      <c r="N16" s="65">
        <v>0.76919568734944921</v>
      </c>
      <c r="O16" s="65">
        <v>2.4944078285796922</v>
      </c>
      <c r="P16" s="65">
        <v>7.497175384132114</v>
      </c>
      <c r="Q16" s="65">
        <v>12.940344181786392</v>
      </c>
      <c r="R16" s="65">
        <v>1.929850102641772</v>
      </c>
      <c r="S16" s="65">
        <v>29.820184879857429</v>
      </c>
      <c r="T16" s="3">
        <v>1.5449065581484419E-2</v>
      </c>
      <c r="U16" s="54">
        <v>-1.1778116070334552E-2</v>
      </c>
      <c r="V16" s="3">
        <v>1.1541357856634741E-3</v>
      </c>
      <c r="W16" s="54">
        <v>6.1135959638478815E-2</v>
      </c>
      <c r="X16" s="3">
        <v>0.10901267306081759</v>
      </c>
      <c r="Y16" s="3">
        <v>0.35370332420360845</v>
      </c>
      <c r="Z16" s="54">
        <v>-5.6500000000000002E-2</v>
      </c>
    </row>
    <row r="17" spans="1:26">
      <c r="A17" t="s">
        <v>214</v>
      </c>
      <c r="B17">
        <v>879</v>
      </c>
      <c r="C17" s="3">
        <v>0.1238678778625954</v>
      </c>
      <c r="D17" s="54">
        <v>0.1067838044473295</v>
      </c>
      <c r="E17" s="3">
        <v>0.10745139617308558</v>
      </c>
      <c r="F17" s="54">
        <v>0.15722778869143017</v>
      </c>
      <c r="G17" s="66">
        <v>0.89100747843924188</v>
      </c>
      <c r="H17" s="65">
        <v>1.1399114789559386</v>
      </c>
      <c r="I17" s="3">
        <v>0.1297649360206839</v>
      </c>
      <c r="J17" s="3">
        <v>0.32649437388083069</v>
      </c>
      <c r="K17" s="3">
        <v>6.9500000000000006E-2</v>
      </c>
      <c r="L17" s="3">
        <v>0.27051844186953267</v>
      </c>
      <c r="M17" s="3">
        <v>0.10882394490616107</v>
      </c>
      <c r="N17" s="65">
        <v>1.2655741833436442</v>
      </c>
      <c r="O17" s="65">
        <v>1.2364855715506904</v>
      </c>
      <c r="P17" s="65">
        <v>8.3058673712892102</v>
      </c>
      <c r="Q17" s="65">
        <v>11.916917872618122</v>
      </c>
      <c r="R17" s="65">
        <v>1.5633404186346405</v>
      </c>
      <c r="S17" s="65">
        <v>32.461182204024411</v>
      </c>
      <c r="T17" s="3">
        <v>0.1304677165424474</v>
      </c>
      <c r="U17" s="54">
        <v>5.9890191714082858E-2</v>
      </c>
      <c r="V17" s="3">
        <v>6.290271963579111E-2</v>
      </c>
      <c r="W17" s="54">
        <v>1.1979557665164933</v>
      </c>
      <c r="X17" s="3">
        <v>0.13015440695282732</v>
      </c>
      <c r="Y17" s="3">
        <v>0.46416333241579638</v>
      </c>
      <c r="Z17" s="54">
        <v>0.82250000000000001</v>
      </c>
    </row>
    <row r="18" spans="1:26">
      <c r="A18" t="s">
        <v>215</v>
      </c>
      <c r="B18">
        <v>68</v>
      </c>
      <c r="C18" s="3">
        <v>7.925883333333332E-2</v>
      </c>
      <c r="D18" s="54">
        <v>0.1030266183093763</v>
      </c>
      <c r="E18" s="3">
        <v>8.8860578023872136E-2</v>
      </c>
      <c r="F18" s="54">
        <v>0.21226360049674067</v>
      </c>
      <c r="G18" s="66">
        <v>0.85841289014549682</v>
      </c>
      <c r="H18" s="65">
        <v>1.1958248741877604</v>
      </c>
      <c r="I18" s="3">
        <v>0.13422682496018329</v>
      </c>
      <c r="J18" s="3">
        <v>0.24921264970970231</v>
      </c>
      <c r="K18" s="3">
        <v>6.1800000000000001E-2</v>
      </c>
      <c r="L18" s="3">
        <v>0.34287939688821434</v>
      </c>
      <c r="M18" s="3">
        <v>0.10416559904158584</v>
      </c>
      <c r="N18" s="65">
        <v>1.1466338195851349</v>
      </c>
      <c r="O18" s="65">
        <v>0.94296723858016984</v>
      </c>
      <c r="P18" s="65">
        <v>6.171064177804876</v>
      </c>
      <c r="Q18" s="65">
        <v>9.1620621978144303</v>
      </c>
      <c r="R18" s="65">
        <v>1.1245367981194994</v>
      </c>
      <c r="S18" s="65">
        <v>13.508795487736551</v>
      </c>
      <c r="T18" s="3">
        <v>0.17217232791268849</v>
      </c>
      <c r="U18" s="54">
        <v>2.3175042368213269E-2</v>
      </c>
      <c r="V18" s="3">
        <v>1.968897467248543E-2</v>
      </c>
      <c r="W18" s="54">
        <v>0.80238917598445381</v>
      </c>
      <c r="X18" s="3">
        <v>0.13650087385165174</v>
      </c>
      <c r="Y18" s="3">
        <v>0.29292289982848024</v>
      </c>
      <c r="Z18" s="54">
        <v>-0.78249999999999997</v>
      </c>
    </row>
    <row r="19" spans="1:26">
      <c r="A19" t="s">
        <v>216</v>
      </c>
      <c r="B19">
        <v>922</v>
      </c>
      <c r="C19" s="3">
        <v>0.12358691813804168</v>
      </c>
      <c r="D19" s="54">
        <v>0.16223817762477039</v>
      </c>
      <c r="E19" s="3">
        <v>0.17150009967531879</v>
      </c>
      <c r="F19" s="54">
        <v>0.15929122981267427</v>
      </c>
      <c r="G19" s="66">
        <v>0.95473675024367</v>
      </c>
      <c r="H19" s="65">
        <v>1.1068628177675968</v>
      </c>
      <c r="I19" s="3">
        <v>0.12712765285785421</v>
      </c>
      <c r="J19" s="3">
        <v>0.34149187496630518</v>
      </c>
      <c r="K19" s="3">
        <v>6.9500000000000006E-2</v>
      </c>
      <c r="L19" s="3">
        <v>0.17459079391537816</v>
      </c>
      <c r="M19" s="3">
        <v>0.11407292254822643</v>
      </c>
      <c r="N19" s="65">
        <v>1.3054375504666331</v>
      </c>
      <c r="O19" s="65">
        <v>2.0157117635380177</v>
      </c>
      <c r="P19" s="65">
        <v>9.4794719480770766</v>
      </c>
      <c r="Q19" s="65">
        <v>12.823605641607234</v>
      </c>
      <c r="R19" s="65">
        <v>2.4990688320644274</v>
      </c>
      <c r="S19" s="65">
        <v>33.689947719856896</v>
      </c>
      <c r="T19" s="3">
        <v>0.18447765882815129</v>
      </c>
      <c r="U19" s="54">
        <v>4.6584219137677074E-2</v>
      </c>
      <c r="V19" s="3">
        <v>4.9838107270292677E-2</v>
      </c>
      <c r="W19" s="54">
        <v>0.75738103516745536</v>
      </c>
      <c r="X19" s="3">
        <v>0.15901047052663181</v>
      </c>
      <c r="Y19" s="3">
        <v>0.33805283025981031</v>
      </c>
      <c r="Z19" s="54">
        <v>0.66269999999999996</v>
      </c>
    </row>
    <row r="20" spans="1:26">
      <c r="A20" t="s">
        <v>217</v>
      </c>
      <c r="B20">
        <v>212</v>
      </c>
      <c r="C20" s="3">
        <v>0.19073247787610623</v>
      </c>
      <c r="D20" s="54">
        <v>0.29228045982862083</v>
      </c>
      <c r="E20" s="3">
        <v>0.38609852291856595</v>
      </c>
      <c r="F20" s="54">
        <v>9.5409782883993238E-2</v>
      </c>
      <c r="G20" s="66">
        <v>1.0243800975641317</v>
      </c>
      <c r="H20" s="65">
        <v>1.2119612126219459</v>
      </c>
      <c r="I20" s="3">
        <v>0.13551450476723126</v>
      </c>
      <c r="J20" s="3">
        <v>0.58726950301818248</v>
      </c>
      <c r="K20" s="3">
        <v>7.3300000000000004E-2</v>
      </c>
      <c r="L20" s="3">
        <v>0.19555045254951162</v>
      </c>
      <c r="M20" s="3">
        <v>0.11981226986085283</v>
      </c>
      <c r="N20" s="65">
        <v>1.4608803604303342</v>
      </c>
      <c r="O20" s="65">
        <v>1.0881834921399869</v>
      </c>
      <c r="P20" s="65">
        <v>3.0088957590727219</v>
      </c>
      <c r="Q20" s="65">
        <v>3.6010760403633757</v>
      </c>
      <c r="R20" s="65">
        <v>1.4159269251330795</v>
      </c>
      <c r="S20" s="65">
        <v>19.361296059901157</v>
      </c>
      <c r="T20" s="3">
        <v>-8.2957586387662659E-3</v>
      </c>
      <c r="U20" s="54">
        <v>3.7949460245922946E-2</v>
      </c>
      <c r="V20" s="3">
        <v>3.6084716364272768E-2</v>
      </c>
      <c r="W20" s="54">
        <v>0.14301394578319884</v>
      </c>
      <c r="X20" s="3">
        <v>0.31438462941240891</v>
      </c>
      <c r="Y20" s="3">
        <v>0.40895723661895989</v>
      </c>
      <c r="Z20" s="54">
        <v>0.31979999999999997</v>
      </c>
    </row>
    <row r="21" spans="1:26">
      <c r="A21" t="s">
        <v>218</v>
      </c>
      <c r="B21">
        <v>1105</v>
      </c>
      <c r="C21" s="3">
        <v>9.3645663956639702E-2</v>
      </c>
      <c r="D21" s="54">
        <v>7.851673901873657E-2</v>
      </c>
      <c r="E21" s="3">
        <v>0.2025293235529626</v>
      </c>
      <c r="F21" s="54">
        <v>0.16622237475120769</v>
      </c>
      <c r="G21" s="66">
        <v>0.96893448296866103</v>
      </c>
      <c r="H21" s="65">
        <v>1.0882471920280821</v>
      </c>
      <c r="I21" s="3">
        <v>0.12564212592384094</v>
      </c>
      <c r="J21" s="3">
        <v>0.33786373564723465</v>
      </c>
      <c r="K21" s="3">
        <v>6.9500000000000006E-2</v>
      </c>
      <c r="L21" s="3">
        <v>0.14049829938709574</v>
      </c>
      <c r="M21" s="3">
        <v>0.11534531804067875</v>
      </c>
      <c r="N21" s="65">
        <v>3.2818741479491207</v>
      </c>
      <c r="O21" s="65">
        <v>1.3095675699093319</v>
      </c>
      <c r="P21" s="65">
        <v>12.706719019755342</v>
      </c>
      <c r="Q21" s="65">
        <v>17.227484749698625</v>
      </c>
      <c r="R21" s="65">
        <v>3.5785994531817509</v>
      </c>
      <c r="S21" s="65">
        <v>49.676816960710156</v>
      </c>
      <c r="T21" s="3">
        <v>0.1651626702816448</v>
      </c>
      <c r="U21" s="54">
        <v>1.2408356424096047E-2</v>
      </c>
      <c r="V21" s="3">
        <v>9.8915425769399018E-3</v>
      </c>
      <c r="W21" s="54">
        <v>0.6566015328288205</v>
      </c>
      <c r="X21" s="3">
        <v>0.13814920572691777</v>
      </c>
      <c r="Y21" s="3">
        <v>0.52194735385474622</v>
      </c>
      <c r="Z21" s="54">
        <v>0.35339999999999999</v>
      </c>
    </row>
    <row r="22" spans="1:26">
      <c r="A22" t="s">
        <v>219</v>
      </c>
      <c r="B22">
        <v>333</v>
      </c>
      <c r="C22" s="3">
        <v>4.3304879999999969E-2</v>
      </c>
      <c r="D22" s="54">
        <v>0.14560994994090726</v>
      </c>
      <c r="E22" s="3">
        <v>0.20720316942953626</v>
      </c>
      <c r="F22" s="54">
        <v>0.14043645453746695</v>
      </c>
      <c r="G22" s="66">
        <v>1.1586064463471801</v>
      </c>
      <c r="H22" s="65">
        <v>1.2620051937696362</v>
      </c>
      <c r="I22" s="3">
        <v>0.13950801446281696</v>
      </c>
      <c r="J22" s="3">
        <v>0.3292446932773343</v>
      </c>
      <c r="K22" s="3">
        <v>6.9500000000000006E-2</v>
      </c>
      <c r="L22" s="3">
        <v>0.105922132128553</v>
      </c>
      <c r="M22" s="3">
        <v>0.13027651250009889</v>
      </c>
      <c r="N22" s="65">
        <v>1.7356503868390247</v>
      </c>
      <c r="O22" s="65">
        <v>2.0056137769058395</v>
      </c>
      <c r="P22" s="65">
        <v>11.199448015099572</v>
      </c>
      <c r="Q22" s="65">
        <v>14.509835707476681</v>
      </c>
      <c r="R22" s="65">
        <v>5.2021822039572259</v>
      </c>
      <c r="S22" s="65">
        <v>34.159140796002291</v>
      </c>
      <c r="T22" s="3">
        <v>3.2155484356610434E-2</v>
      </c>
      <c r="U22" s="54">
        <v>3.2827286518238762E-2</v>
      </c>
      <c r="V22" s="3">
        <v>3.2027334541902312E-2</v>
      </c>
      <c r="W22" s="54">
        <v>0.48420479578077191</v>
      </c>
      <c r="X22" s="3">
        <v>0.27940376674380923</v>
      </c>
      <c r="Y22" s="3">
        <v>0.22650677990976426</v>
      </c>
      <c r="Z22" s="54">
        <v>0.50019999999999998</v>
      </c>
    </row>
    <row r="23" spans="1:26">
      <c r="A23" t="s">
        <v>220</v>
      </c>
      <c r="B23">
        <v>790</v>
      </c>
      <c r="C23" s="3">
        <v>8.988834162520723E-2</v>
      </c>
      <c r="D23" s="54">
        <v>8.1075647662642872E-2</v>
      </c>
      <c r="E23" s="3">
        <v>7.1457740481812526E-2</v>
      </c>
      <c r="F23" s="54">
        <v>0.14834321663490779</v>
      </c>
      <c r="G23" s="66">
        <v>0.83313334821296381</v>
      </c>
      <c r="H23" s="65">
        <v>1.1168579550772775</v>
      </c>
      <c r="I23" s="3">
        <v>0.12792526481516675</v>
      </c>
      <c r="J23" s="3">
        <v>0.30150511958275444</v>
      </c>
      <c r="K23" s="3">
        <v>6.9500000000000006E-2</v>
      </c>
      <c r="L23" s="3">
        <v>0.31133232518566467</v>
      </c>
      <c r="M23" s="3">
        <v>0.1043975961893531</v>
      </c>
      <c r="N23" s="65">
        <v>1.0671627220556099</v>
      </c>
      <c r="O23" s="65">
        <v>1.3587154692875165</v>
      </c>
      <c r="P23" s="65">
        <v>10.009606294953084</v>
      </c>
      <c r="Q23" s="65">
        <v>16.066971457506867</v>
      </c>
      <c r="R23" s="65">
        <v>1.4169331425544049</v>
      </c>
      <c r="S23" s="65">
        <v>42.499008672488294</v>
      </c>
      <c r="T23" s="3">
        <v>0.18043639079001042</v>
      </c>
      <c r="U23" s="54">
        <v>3.5796678594107754E-2</v>
      </c>
      <c r="V23" s="3">
        <v>3.8623609957872958E-2</v>
      </c>
      <c r="W23" s="54">
        <v>1.075371172802579</v>
      </c>
      <c r="X23" s="3">
        <v>8.0922460272459681E-2</v>
      </c>
      <c r="Y23" s="3">
        <v>0.51446026350372742</v>
      </c>
      <c r="Z23" s="54">
        <v>0.70840000000000003</v>
      </c>
    </row>
    <row r="24" spans="1:26">
      <c r="A24" t="s">
        <v>221</v>
      </c>
      <c r="B24">
        <v>314</v>
      </c>
      <c r="C24" s="3">
        <v>9.8170408163265194E-2</v>
      </c>
      <c r="D24" s="54">
        <v>9.4540164566168802E-2</v>
      </c>
      <c r="E24" s="3">
        <v>6.2952807030606794E-2</v>
      </c>
      <c r="F24" s="54">
        <v>0.13386535096563182</v>
      </c>
      <c r="G24" s="66">
        <v>0.6782812559737097</v>
      </c>
      <c r="H24" s="65">
        <v>0.9639252546213195</v>
      </c>
      <c r="I24" s="3">
        <v>0.1157212353187813</v>
      </c>
      <c r="J24" s="3">
        <v>0.27349373371508195</v>
      </c>
      <c r="K24" s="3">
        <v>6.9500000000000006E-2</v>
      </c>
      <c r="L24" s="3">
        <v>0.35858198888340026</v>
      </c>
      <c r="M24" s="3">
        <v>9.2999011551826355E-2</v>
      </c>
      <c r="N24" s="65">
        <v>0.7840641464318554</v>
      </c>
      <c r="O24" s="65">
        <v>1.8829530097500131</v>
      </c>
      <c r="P24" s="65">
        <v>13.155686802482316</v>
      </c>
      <c r="Q24" s="65">
        <v>19.330338827982725</v>
      </c>
      <c r="R24" s="65">
        <v>1.2135055453841528</v>
      </c>
      <c r="S24" s="65">
        <v>19.426843095216764</v>
      </c>
      <c r="T24" s="3">
        <v>-0.11650945036047462</v>
      </c>
      <c r="U24" s="54">
        <v>3.5727032438049547E-2</v>
      </c>
      <c r="V24" s="3">
        <v>7.6312329361308776E-3</v>
      </c>
      <c r="W24" s="54">
        <v>0.49580074819389314</v>
      </c>
      <c r="X24" s="3">
        <v>5.8112853136737509E-2</v>
      </c>
      <c r="Y24" s="3">
        <v>0.39840140166419818</v>
      </c>
      <c r="Z24" s="54">
        <v>0.46039999999999998</v>
      </c>
    </row>
    <row r="25" spans="1:26">
      <c r="A25" t="s">
        <v>222</v>
      </c>
      <c r="B25">
        <v>1267</v>
      </c>
      <c r="C25" s="3">
        <v>0.26030372043010735</v>
      </c>
      <c r="D25" s="54">
        <v>0.13861864018865347</v>
      </c>
      <c r="E25" s="3">
        <v>4.6526913392921442E-2</v>
      </c>
      <c r="F25" s="54">
        <v>2.4746592636052649E-2</v>
      </c>
      <c r="G25" s="66">
        <v>1.1562451409461891</v>
      </c>
      <c r="H25" s="65">
        <v>1.268267613064147</v>
      </c>
      <c r="I25" s="3">
        <v>0.14000775552251893</v>
      </c>
      <c r="J25" s="3">
        <v>0.51694194640882407</v>
      </c>
      <c r="K25" s="3">
        <v>7.3300000000000004E-2</v>
      </c>
      <c r="L25" s="3">
        <v>0.1139572454338612</v>
      </c>
      <c r="M25" s="3">
        <v>0.13034522204961971</v>
      </c>
      <c r="N25" s="65">
        <v>0.45983261646900347</v>
      </c>
      <c r="O25" s="65">
        <v>6.5588146508950045</v>
      </c>
      <c r="P25" s="65">
        <v>12.966365172864815</v>
      </c>
      <c r="Q25" s="65">
        <v>61.864204347414478</v>
      </c>
      <c r="R25" s="65">
        <v>5.0769214630631092</v>
      </c>
      <c r="S25" s="65">
        <v>126.61097345829106</v>
      </c>
      <c r="T25" s="3">
        <v>0.18476756001476305</v>
      </c>
      <c r="U25" s="54">
        <v>0.13788348638401227</v>
      </c>
      <c r="V25" s="3">
        <v>2.8951510522702298E-2</v>
      </c>
      <c r="W25" s="54">
        <v>1.8806559490214771</v>
      </c>
      <c r="X25" s="3">
        <v>-1.0637065540967156E-2</v>
      </c>
      <c r="Y25" s="3">
        <v>2.2318145787477788E-3</v>
      </c>
      <c r="Z25" s="54">
        <v>2.4076</v>
      </c>
    </row>
    <row r="26" spans="1:26">
      <c r="A26" t="s">
        <v>223</v>
      </c>
      <c r="B26">
        <v>1352</v>
      </c>
      <c r="C26" s="3">
        <v>0.17139170469798656</v>
      </c>
      <c r="D26" s="54">
        <v>0.22500925151553053</v>
      </c>
      <c r="E26" s="3">
        <v>0.13957128286220502</v>
      </c>
      <c r="F26" s="54">
        <v>9.8033872005966832E-2</v>
      </c>
      <c r="G26" s="66">
        <v>0.95467166977097739</v>
      </c>
      <c r="H26" s="65">
        <v>1.0635869533243638</v>
      </c>
      <c r="I26" s="3">
        <v>0.12367423887528423</v>
      </c>
      <c r="J26" s="3">
        <v>0.44281720798926644</v>
      </c>
      <c r="K26" s="3">
        <v>6.9500000000000006E-2</v>
      </c>
      <c r="L26" s="3">
        <v>0.13152916490130936</v>
      </c>
      <c r="M26" s="3">
        <v>0.11429359345066391</v>
      </c>
      <c r="N26" s="65">
        <v>0.71487767283195569</v>
      </c>
      <c r="O26" s="65">
        <v>3.9802709254480027</v>
      </c>
      <c r="P26" s="65">
        <v>12.690853000619033</v>
      </c>
      <c r="Q26" s="65">
        <v>17.540563493912831</v>
      </c>
      <c r="R26" s="65">
        <v>3.8038786986767983</v>
      </c>
      <c r="S26" s="65">
        <v>128.87688628734568</v>
      </c>
      <c r="T26" s="3">
        <v>0.14897338338600832</v>
      </c>
      <c r="U26" s="54">
        <v>5.7433549769644821E-2</v>
      </c>
      <c r="V26" s="3">
        <v>2.0118063231931719E-2</v>
      </c>
      <c r="W26" s="54">
        <v>0.22118800607153283</v>
      </c>
      <c r="X26" s="3">
        <v>0.16122384369938733</v>
      </c>
      <c r="Y26" s="3">
        <v>0.50405839541139608</v>
      </c>
      <c r="Z26" s="54">
        <v>0.57310000000000005</v>
      </c>
    </row>
    <row r="27" spans="1:26">
      <c r="A27" t="s">
        <v>224</v>
      </c>
      <c r="B27">
        <v>251</v>
      </c>
      <c r="C27" s="3">
        <v>7.2462666666666703E-2</v>
      </c>
      <c r="D27" s="54">
        <v>0.10342698822890613</v>
      </c>
      <c r="E27" s="3">
        <v>6.2603191520413867E-2</v>
      </c>
      <c r="F27" s="54">
        <v>0.13161523431932237</v>
      </c>
      <c r="G27" s="66">
        <v>0.70433605201073402</v>
      </c>
      <c r="H27" s="65">
        <v>0.87876725882387718</v>
      </c>
      <c r="I27" s="3">
        <v>0.1089256272541454</v>
      </c>
      <c r="J27" s="3">
        <v>0.34117555150021905</v>
      </c>
      <c r="K27" s="3">
        <v>6.9500000000000006E-2</v>
      </c>
      <c r="L27" s="3">
        <v>0.24741750017757028</v>
      </c>
      <c r="M27" s="3">
        <v>9.4928903254072494E-2</v>
      </c>
      <c r="N27" s="65">
        <v>0.85141497410935729</v>
      </c>
      <c r="O27" s="65">
        <v>2.3696146946244649</v>
      </c>
      <c r="P27" s="65">
        <v>10.001464516545653</v>
      </c>
      <c r="Q27" s="65">
        <v>21.79913089310736</v>
      </c>
      <c r="R27" s="65">
        <v>1.8555344291477101</v>
      </c>
      <c r="S27" s="65">
        <v>179.05357682042421</v>
      </c>
      <c r="T27" s="3">
        <v>7.3828679958868092E-3</v>
      </c>
      <c r="U27" s="54">
        <v>0.15324854351350051</v>
      </c>
      <c r="V27" s="3">
        <v>9.4070086977542544E-2</v>
      </c>
      <c r="W27" s="54">
        <v>1.9475349905213291</v>
      </c>
      <c r="X27" s="3">
        <v>3.679776661145092E-2</v>
      </c>
      <c r="Y27" s="3">
        <v>0.71826245482073359</v>
      </c>
      <c r="Z27" s="54">
        <v>0.78820000000000001</v>
      </c>
    </row>
    <row r="28" spans="1:26">
      <c r="A28" t="s">
        <v>225</v>
      </c>
      <c r="B28">
        <v>1045</v>
      </c>
      <c r="C28" s="3">
        <v>0.12176879483500726</v>
      </c>
      <c r="D28" s="54">
        <v>7.0031114874142597E-2</v>
      </c>
      <c r="E28" s="3">
        <v>9.6069628831003812E-2</v>
      </c>
      <c r="F28" s="54">
        <v>0.11696572849960604</v>
      </c>
      <c r="G28" s="66">
        <v>1.0091535860702929</v>
      </c>
      <c r="H28" s="65">
        <v>1.1360186851537797</v>
      </c>
      <c r="I28" s="3">
        <v>0.12945429107527162</v>
      </c>
      <c r="J28" s="3">
        <v>0.37245108102966507</v>
      </c>
      <c r="K28" s="3">
        <v>6.9500000000000006E-2</v>
      </c>
      <c r="L28" s="3">
        <v>0.14301741508197188</v>
      </c>
      <c r="M28" s="3">
        <v>0.11842765679971393</v>
      </c>
      <c r="N28" s="65">
        <v>1.5879625149016394</v>
      </c>
      <c r="O28" s="65">
        <v>2.0277017833186979</v>
      </c>
      <c r="P28" s="65">
        <v>16.767282753897025</v>
      </c>
      <c r="Q28" s="65">
        <v>27.675072347786415</v>
      </c>
      <c r="R28" s="65">
        <v>2.833909558497774</v>
      </c>
      <c r="S28" s="65">
        <v>40.84984806066813</v>
      </c>
      <c r="T28" s="3">
        <v>0.22452763237582904</v>
      </c>
      <c r="U28" s="54">
        <v>6.3184219099487335E-2</v>
      </c>
      <c r="V28" s="3">
        <v>6.501200066309834E-2</v>
      </c>
      <c r="W28" s="54">
        <v>2.0550213941805726</v>
      </c>
      <c r="X28" s="3">
        <v>9.0067755168144137E-2</v>
      </c>
      <c r="Y28" s="3">
        <v>0.44354143830219317</v>
      </c>
      <c r="Z28" s="54">
        <v>0.97629999999999995</v>
      </c>
    </row>
    <row r="29" spans="1:26">
      <c r="A29" t="s">
        <v>226</v>
      </c>
      <c r="B29">
        <v>134</v>
      </c>
      <c r="C29" s="3">
        <v>2.8733333333333326E-2</v>
      </c>
      <c r="D29" s="54">
        <v>5.3369487806764482E-2</v>
      </c>
      <c r="E29" s="3">
        <v>6.0197219290322748E-2</v>
      </c>
      <c r="F29" s="54">
        <v>0.12554756180518867</v>
      </c>
      <c r="G29" s="66">
        <v>0.95394594164562596</v>
      </c>
      <c r="H29" s="65">
        <v>1.2725160060597946</v>
      </c>
      <c r="I29" s="3">
        <v>0.14034677728357159</v>
      </c>
      <c r="J29" s="3">
        <v>0.34632531120576865</v>
      </c>
      <c r="K29" s="3">
        <v>6.9500000000000006E-2</v>
      </c>
      <c r="L29" s="3">
        <v>0.30715094709946367</v>
      </c>
      <c r="M29" s="3">
        <v>0.11331981990584189</v>
      </c>
      <c r="N29" s="65">
        <v>1.288634554510691</v>
      </c>
      <c r="O29" s="65">
        <v>0.80368322443778739</v>
      </c>
      <c r="P29" s="65">
        <v>7.497978347029389</v>
      </c>
      <c r="Q29" s="65">
        <v>14.970393372901015</v>
      </c>
      <c r="R29" s="65">
        <v>1.2983108781883297</v>
      </c>
      <c r="S29" s="65">
        <v>52.425310221176993</v>
      </c>
      <c r="T29" s="3">
        <v>5.5377331814515686E-2</v>
      </c>
      <c r="U29" s="54">
        <v>6.5461285299230287E-2</v>
      </c>
      <c r="V29" s="3">
        <v>3.5786919353448146E-2</v>
      </c>
      <c r="W29" s="54">
        <v>1.6572731380834365</v>
      </c>
      <c r="X29" s="3">
        <v>7.8509104048175279E-2</v>
      </c>
      <c r="Y29" s="3">
        <v>0.30310692992960891</v>
      </c>
      <c r="Z29" s="54">
        <v>1.3365</v>
      </c>
    </row>
    <row r="30" spans="1:26">
      <c r="A30" t="s">
        <v>227</v>
      </c>
      <c r="B30">
        <v>1457</v>
      </c>
      <c r="C30" s="3">
        <v>7.440767161410021E-2</v>
      </c>
      <c r="D30" s="54">
        <v>7.2711360959625673E-2</v>
      </c>
      <c r="E30" s="3">
        <v>8.7206934187178925E-2</v>
      </c>
      <c r="F30" s="54">
        <v>0.12428122333870883</v>
      </c>
      <c r="G30" s="66">
        <v>1.1293381186694775</v>
      </c>
      <c r="H30" s="65">
        <v>1.2955238162109064</v>
      </c>
      <c r="I30" s="3">
        <v>0.14218280053363033</v>
      </c>
      <c r="J30" s="3">
        <v>0.33176265991369114</v>
      </c>
      <c r="K30" s="3">
        <v>6.9500000000000006E-2</v>
      </c>
      <c r="L30" s="3">
        <v>0.16342124700338245</v>
      </c>
      <c r="M30" s="3">
        <v>0.12750292313104281</v>
      </c>
      <c r="N30" s="65">
        <v>1.4384315985614258</v>
      </c>
      <c r="O30" s="65">
        <v>1.3776033874896974</v>
      </c>
      <c r="P30" s="65">
        <v>11.273965737803852</v>
      </c>
      <c r="Q30" s="65">
        <v>18.870401996910637</v>
      </c>
      <c r="R30" s="65">
        <v>2.1250670536108807</v>
      </c>
      <c r="S30" s="65">
        <v>84.528011171204724</v>
      </c>
      <c r="T30" s="3">
        <v>0.20074499185210051</v>
      </c>
      <c r="U30" s="54">
        <v>6.341272234412805E-2</v>
      </c>
      <c r="V30" s="3">
        <v>4.9651604052128297E-2</v>
      </c>
      <c r="W30" s="54">
        <v>1.6115539785648181</v>
      </c>
      <c r="X30" s="3">
        <v>9.5623518017835266E-2</v>
      </c>
      <c r="Y30" s="3">
        <v>0.39313439546655421</v>
      </c>
      <c r="Z30" s="54">
        <v>1.5981000000000001</v>
      </c>
    </row>
    <row r="31" spans="1:26">
      <c r="A31" t="s">
        <v>228</v>
      </c>
      <c r="B31">
        <v>1269</v>
      </c>
      <c r="C31" s="3">
        <v>7.8894370546318357E-2</v>
      </c>
      <c r="D31" s="54">
        <v>7.6603788926968397E-2</v>
      </c>
      <c r="E31" s="3">
        <v>7.3014665776993379E-2</v>
      </c>
      <c r="F31" s="54">
        <v>0.15883112278792491</v>
      </c>
      <c r="G31" s="66">
        <v>0.57670573038806416</v>
      </c>
      <c r="H31" s="65">
        <v>1.0295667164846354</v>
      </c>
      <c r="I31" s="3">
        <v>0.12095942397547391</v>
      </c>
      <c r="J31" s="3">
        <v>0.32279385986263293</v>
      </c>
      <c r="K31" s="3">
        <v>6.9500000000000006E-2</v>
      </c>
      <c r="L31" s="3">
        <v>0.51038470427563054</v>
      </c>
      <c r="M31" s="3">
        <v>8.5944443582693902E-2</v>
      </c>
      <c r="N31" s="65">
        <v>1.7980446299653665</v>
      </c>
      <c r="O31" s="65">
        <v>0.59716246513510773</v>
      </c>
      <c r="P31" s="65">
        <v>8.5602218776639774</v>
      </c>
      <c r="Q31" s="65">
        <v>11.84183341894872</v>
      </c>
      <c r="R31" s="65">
        <v>0.92438488649154593</v>
      </c>
      <c r="S31" s="65">
        <v>30.799850738194948</v>
      </c>
      <c r="T31" s="3">
        <v>0.15956663775102348</v>
      </c>
      <c r="U31" s="54">
        <v>2.6091027382896672E-2</v>
      </c>
      <c r="V31" s="3">
        <v>2.5650645849841693E-2</v>
      </c>
      <c r="W31" s="54">
        <v>1.7330707134271515</v>
      </c>
      <c r="X31" s="3">
        <v>9.1449190767282085E-2</v>
      </c>
      <c r="Y31" s="3">
        <v>0.59131516172456033</v>
      </c>
      <c r="Z31" s="54">
        <v>1.2875000000000001</v>
      </c>
    </row>
    <row r="32" spans="1:26">
      <c r="A32" t="s">
        <v>229</v>
      </c>
      <c r="B32">
        <v>752</v>
      </c>
      <c r="C32" s="3">
        <v>0.10592681498829039</v>
      </c>
      <c r="D32" s="54">
        <v>9.6725875533484135E-2</v>
      </c>
      <c r="E32" s="3">
        <v>9.6512626423388009E-2</v>
      </c>
      <c r="F32" s="54">
        <v>8.6605863501288793E-2</v>
      </c>
      <c r="G32" s="66">
        <v>1.0020846082578625</v>
      </c>
      <c r="H32" s="65">
        <v>1.2013486787553214</v>
      </c>
      <c r="I32" s="3">
        <v>0.13466762456467463</v>
      </c>
      <c r="J32" s="3">
        <v>0.42673745588286965</v>
      </c>
      <c r="K32" s="3">
        <v>6.9500000000000006E-2</v>
      </c>
      <c r="L32" s="3">
        <v>0.20884276813170335</v>
      </c>
      <c r="M32" s="3">
        <v>0.11747709245060305</v>
      </c>
      <c r="N32" s="65">
        <v>1.2759768911988971</v>
      </c>
      <c r="O32" s="65">
        <v>2.8990443634193923</v>
      </c>
      <c r="P32" s="65">
        <v>16.734255201777739</v>
      </c>
      <c r="Q32" s="65">
        <v>33.753289488727212</v>
      </c>
      <c r="R32" s="65">
        <v>2.2420184466493001</v>
      </c>
      <c r="S32" s="65">
        <v>214.52307445927008</v>
      </c>
      <c r="T32" s="3">
        <v>4.1236187325067709E-2</v>
      </c>
      <c r="U32" s="54">
        <v>2.7075856672277476E-2</v>
      </c>
      <c r="V32" s="3">
        <v>1.8753776279506335E-2</v>
      </c>
      <c r="W32" s="54">
        <v>0.5072249381554339</v>
      </c>
      <c r="X32" s="3">
        <v>5.3343812988993114E-2</v>
      </c>
      <c r="Y32" s="3">
        <v>0.36913257422099616</v>
      </c>
      <c r="Z32" s="54">
        <v>0.66269999999999996</v>
      </c>
    </row>
    <row r="33" spans="1:26">
      <c r="A33" t="s">
        <v>230</v>
      </c>
      <c r="B33">
        <v>370</v>
      </c>
      <c r="C33" s="3">
        <v>8.3761952380952381E-2</v>
      </c>
      <c r="D33" s="54">
        <v>0.11098662636579093</v>
      </c>
      <c r="E33" s="3">
        <v>0.10618091123311392</v>
      </c>
      <c r="F33" s="54">
        <v>0.12681248429990891</v>
      </c>
      <c r="G33" s="66">
        <v>0.84885848711778633</v>
      </c>
      <c r="H33" s="65">
        <v>1.0880867288276126</v>
      </c>
      <c r="I33" s="3">
        <v>0.12562932096044349</v>
      </c>
      <c r="J33" s="3">
        <v>0.38236707668331305</v>
      </c>
      <c r="K33" s="3">
        <v>6.9500000000000006E-2</v>
      </c>
      <c r="L33" s="3">
        <v>0.27226072626110814</v>
      </c>
      <c r="M33" s="3">
        <v>0.10567942414999154</v>
      </c>
      <c r="N33" s="65">
        <v>1.1302069098777168</v>
      </c>
      <c r="O33" s="65">
        <v>2.6398509115640278</v>
      </c>
      <c r="P33" s="65">
        <v>13.452443116927057</v>
      </c>
      <c r="Q33" s="65">
        <v>23.234878408858599</v>
      </c>
      <c r="R33" s="65">
        <v>2.8428385265315317</v>
      </c>
      <c r="S33" s="65">
        <v>42.624997180350128</v>
      </c>
      <c r="T33" s="3">
        <v>0.13276798839253917</v>
      </c>
      <c r="U33" s="54">
        <v>0.10751660160840347</v>
      </c>
      <c r="V33" s="3">
        <v>8.77448543218802E-2</v>
      </c>
      <c r="W33" s="54">
        <v>1.6514979421321525</v>
      </c>
      <c r="X33" s="3">
        <v>9.1371725037155543E-2</v>
      </c>
      <c r="Y33" s="3">
        <v>0.55849304447529791</v>
      </c>
      <c r="Z33" s="54">
        <v>1.0208999999999999</v>
      </c>
    </row>
    <row r="34" spans="1:26">
      <c r="A34" t="s">
        <v>231</v>
      </c>
      <c r="B34">
        <v>426</v>
      </c>
      <c r="C34" s="3">
        <v>0.1273559602649007</v>
      </c>
      <c r="D34" s="54">
        <v>7.5644850889910228E-2</v>
      </c>
      <c r="E34" s="3">
        <v>0.10276535855905174</v>
      </c>
      <c r="F34" s="54">
        <v>0.12620847194628598</v>
      </c>
      <c r="G34" s="66">
        <v>0.62370326103125318</v>
      </c>
      <c r="H34" s="65">
        <v>0.84191689518664237</v>
      </c>
      <c r="I34" s="3">
        <v>0.10598496823589405</v>
      </c>
      <c r="J34" s="3">
        <v>0.34158621718358206</v>
      </c>
      <c r="K34" s="3">
        <v>6.9500000000000006E-2</v>
      </c>
      <c r="L34" s="3">
        <v>0.31714825367380384</v>
      </c>
      <c r="M34" s="3">
        <v>8.8976111318933793E-2</v>
      </c>
      <c r="N34" s="65">
        <v>1.5664988491796712</v>
      </c>
      <c r="O34" s="65">
        <v>1.1363326568143441</v>
      </c>
      <c r="P34" s="65">
        <v>10.531883443049173</v>
      </c>
      <c r="Q34" s="65">
        <v>14.629414005607046</v>
      </c>
      <c r="R34" s="65">
        <v>2.1504493343657427</v>
      </c>
      <c r="S34" s="65">
        <v>41.537477508611232</v>
      </c>
      <c r="T34" s="3">
        <v>0.16352430082262925</v>
      </c>
      <c r="U34" s="54">
        <v>3.2607347700619203E-2</v>
      </c>
      <c r="V34" s="3">
        <v>3.452772940859547E-2</v>
      </c>
      <c r="W34" s="54">
        <v>1.3044537684733635</v>
      </c>
      <c r="X34" s="3">
        <v>0.14362550060321239</v>
      </c>
      <c r="Y34" s="3">
        <v>0.32007015569173347</v>
      </c>
      <c r="Z34" s="54">
        <v>1.5225</v>
      </c>
    </row>
    <row r="35" spans="1:26">
      <c r="A35" t="s">
        <v>232</v>
      </c>
      <c r="B35">
        <v>1089</v>
      </c>
      <c r="C35" s="3">
        <v>0.104697216066482</v>
      </c>
      <c r="D35" s="54">
        <v>0.12151538852397602</v>
      </c>
      <c r="E35" s="3">
        <v>5.9327452725637733E-3</v>
      </c>
      <c r="F35" s="54">
        <v>0.15559561784493603</v>
      </c>
      <c r="G35" s="66">
        <v>0.14387797457533422</v>
      </c>
      <c r="H35" s="65">
        <v>0.88179367642992346</v>
      </c>
      <c r="I35" s="3">
        <v>0.1091671353791079</v>
      </c>
      <c r="J35" s="3">
        <v>0.33123687849243361</v>
      </c>
      <c r="K35" s="3">
        <v>6.9500000000000006E-2</v>
      </c>
      <c r="L35" s="3">
        <v>0.8719326375242562</v>
      </c>
      <c r="M35" s="3">
        <v>5.9630213578402848E-2</v>
      </c>
      <c r="N35" s="65">
        <v>6.4711238201554208E-2</v>
      </c>
      <c r="O35" s="65">
        <v>16.535097333814399</v>
      </c>
      <c r="P35" s="65">
        <v>63.304970355623297</v>
      </c>
      <c r="Q35" s="65">
        <v>74.383314735904918</v>
      </c>
      <c r="R35" s="65">
        <v>1.2380098214278055</v>
      </c>
      <c r="S35" s="65">
        <v>153.15694290299754</v>
      </c>
      <c r="T35" t="s">
        <v>584</v>
      </c>
      <c r="U35" s="54">
        <v>6.6354678402591447E-2</v>
      </c>
      <c r="V35" s="3">
        <v>4.1852132738418361E-2</v>
      </c>
      <c r="W35" s="54">
        <v>0.49278863336413131</v>
      </c>
      <c r="X35" s="3">
        <v>0.14209285342615216</v>
      </c>
      <c r="Y35" s="3">
        <v>0.22864298056819313</v>
      </c>
      <c r="Z35" s="54">
        <v>1.3320000000000001</v>
      </c>
    </row>
    <row r="36" spans="1:26">
      <c r="A36" t="s">
        <v>233</v>
      </c>
      <c r="B36">
        <v>1397</v>
      </c>
      <c r="C36" s="3">
        <v>9.7076004119464404E-2</v>
      </c>
      <c r="D36" s="54">
        <v>8.487290156879379E-2</v>
      </c>
      <c r="E36" s="3">
        <v>0.1178757677853427</v>
      </c>
      <c r="F36" s="54">
        <v>0.15179277832117272</v>
      </c>
      <c r="G36" s="66">
        <v>0.65334402446556439</v>
      </c>
      <c r="H36" s="65">
        <v>0.79603809344606158</v>
      </c>
      <c r="I36" s="3">
        <v>0.10232383985699571</v>
      </c>
      <c r="J36" s="3">
        <v>0.29170887891196889</v>
      </c>
      <c r="K36" s="3">
        <v>6.9500000000000006E-2</v>
      </c>
      <c r="L36" s="3">
        <v>0.22476528833524001</v>
      </c>
      <c r="M36" s="3">
        <v>9.1092433061323225E-2</v>
      </c>
      <c r="N36" s="65">
        <v>1.6660267682211776</v>
      </c>
      <c r="O36" s="65">
        <v>1.5542804803457522</v>
      </c>
      <c r="P36" s="65">
        <v>13.042858477382078</v>
      </c>
      <c r="Q36" s="65">
        <v>18.28801310021742</v>
      </c>
      <c r="R36" s="65">
        <v>2.4990667838755436</v>
      </c>
      <c r="S36" s="65">
        <v>45.071976673902732</v>
      </c>
      <c r="T36" s="3">
        <v>0.10811631257226161</v>
      </c>
      <c r="U36" s="54">
        <v>3.9433834241671337E-2</v>
      </c>
      <c r="V36" s="3">
        <v>3.3295072764184648E-2</v>
      </c>
      <c r="W36" s="54">
        <v>0.79410782944645997</v>
      </c>
      <c r="X36" s="3">
        <v>0.11636452300326208</v>
      </c>
      <c r="Y36" s="3">
        <v>0.51559701498212285</v>
      </c>
      <c r="Z36" s="54">
        <v>0.87719999999999998</v>
      </c>
    </row>
    <row r="37" spans="1:26">
      <c r="A37" t="s">
        <v>234</v>
      </c>
      <c r="B37">
        <v>169</v>
      </c>
      <c r="C37" s="3">
        <v>6.2875454545454554E-2</v>
      </c>
      <c r="D37" s="54">
        <v>2.6683445022949476E-2</v>
      </c>
      <c r="E37" s="3">
        <v>0.11488938343353311</v>
      </c>
      <c r="F37" s="54">
        <v>0.16633640918514456</v>
      </c>
      <c r="G37" s="66">
        <v>0.4552729320048669</v>
      </c>
      <c r="H37" s="65">
        <v>0.68839747956966135</v>
      </c>
      <c r="I37" s="3">
        <v>9.3734118869658975E-2</v>
      </c>
      <c r="J37" s="3">
        <v>0.31458186609200384</v>
      </c>
      <c r="K37" s="3">
        <v>6.9500000000000006E-2</v>
      </c>
      <c r="L37" s="3">
        <v>0.40467275546799308</v>
      </c>
      <c r="M37" s="3">
        <v>7.6988853780545402E-2</v>
      </c>
      <c r="N37" s="65">
        <v>5.3695862056734871</v>
      </c>
      <c r="O37" s="65">
        <v>0.44390287260227929</v>
      </c>
      <c r="P37" s="65">
        <v>10.933264747622454</v>
      </c>
      <c r="Q37" s="65">
        <v>17.076573138249429</v>
      </c>
      <c r="R37" s="65">
        <v>2.1616053317977144</v>
      </c>
      <c r="S37" s="65">
        <v>45.479220835055926</v>
      </c>
      <c r="T37" s="3">
        <v>5.7725076685344177E-2</v>
      </c>
      <c r="U37" s="54">
        <v>1.2407395934016071E-2</v>
      </c>
      <c r="V37" s="3">
        <v>5.7544623637667347E-3</v>
      </c>
      <c r="W37" s="54">
        <v>0.85072534702466673</v>
      </c>
      <c r="X37" s="3">
        <v>0.1313375950156184</v>
      </c>
      <c r="Y37" s="3">
        <v>0.41004672915186663</v>
      </c>
      <c r="Z37" s="54">
        <v>0.6089</v>
      </c>
    </row>
    <row r="38" spans="1:26">
      <c r="A38" t="s">
        <v>235</v>
      </c>
      <c r="B38">
        <v>362</v>
      </c>
      <c r="C38" s="3">
        <v>9.0344183266932332E-2</v>
      </c>
      <c r="D38" s="54">
        <v>8.1213606265724131E-2</v>
      </c>
      <c r="E38" s="3">
        <v>0.14641279471865409</v>
      </c>
      <c r="F38" s="54">
        <v>0.1503942534844897</v>
      </c>
      <c r="G38" s="66">
        <v>0.90673270211098722</v>
      </c>
      <c r="H38" s="65">
        <v>1.0821054084407624</v>
      </c>
      <c r="I38" s="3">
        <v>0.12515201159357284</v>
      </c>
      <c r="J38" s="3">
        <v>0.30125928200266844</v>
      </c>
      <c r="K38" s="3">
        <v>6.9500000000000006E-2</v>
      </c>
      <c r="L38" s="3">
        <v>0.2042984087234449</v>
      </c>
      <c r="M38" s="3">
        <v>0.11027956517121806</v>
      </c>
      <c r="N38" s="65">
        <v>2.2818130755137274</v>
      </c>
      <c r="O38" s="65">
        <v>1.0212678274664981</v>
      </c>
      <c r="P38" s="65">
        <v>9.5672766676184544</v>
      </c>
      <c r="Q38" s="65">
        <v>12.903663047759149</v>
      </c>
      <c r="R38" s="65">
        <v>2.2027094370991782</v>
      </c>
      <c r="S38" s="65">
        <v>53.507688395259152</v>
      </c>
      <c r="T38" s="3">
        <v>7.338773485684795E-2</v>
      </c>
      <c r="U38" s="54">
        <v>2.4921896152994241E-2</v>
      </c>
      <c r="V38" s="3">
        <v>1.9103425361702391E-2</v>
      </c>
      <c r="W38" s="54">
        <v>0.80371735502561836</v>
      </c>
      <c r="X38" s="3">
        <v>0.1353404441072435</v>
      </c>
      <c r="Y38" s="3">
        <v>0.52638382360021452</v>
      </c>
      <c r="Z38" s="54">
        <v>0.62890000000000001</v>
      </c>
    </row>
    <row r="39" spans="1:26">
      <c r="A39" t="s">
        <v>236</v>
      </c>
      <c r="B39">
        <v>248</v>
      </c>
      <c r="C39" s="3">
        <v>0.15748204724409451</v>
      </c>
      <c r="D39" s="54">
        <v>0.33151808106420522</v>
      </c>
      <c r="E39" s="3">
        <v>6.7353380013681546E-2</v>
      </c>
      <c r="F39" s="54">
        <v>0.10379044597594156</v>
      </c>
      <c r="G39" s="66">
        <v>0.70343850237517558</v>
      </c>
      <c r="H39" s="65">
        <v>1.0336423067859184</v>
      </c>
      <c r="I39" s="3">
        <v>0.12128465608151628</v>
      </c>
      <c r="J39" s="3">
        <v>0.36974872492744715</v>
      </c>
      <c r="K39" s="3">
        <v>6.9500000000000006E-2</v>
      </c>
      <c r="L39" s="3">
        <v>0.38391147299077572</v>
      </c>
      <c r="M39" s="3">
        <v>9.4821520740056342E-2</v>
      </c>
      <c r="N39" s="65">
        <v>0.2293780785175985</v>
      </c>
      <c r="O39" s="65">
        <v>7.5246539792933156</v>
      </c>
      <c r="P39" s="65">
        <v>14.030011705053287</v>
      </c>
      <c r="Q39" s="65">
        <v>22.59081317615253</v>
      </c>
      <c r="R39" s="65">
        <v>1.9232200976937126</v>
      </c>
      <c r="S39" s="65">
        <v>47.369779187704324</v>
      </c>
      <c r="T39" s="3">
        <v>0.11304862660232423</v>
      </c>
      <c r="U39" s="54">
        <v>0.25434296265623013</v>
      </c>
      <c r="V39" s="3">
        <v>0.24846525569738823</v>
      </c>
      <c r="W39" s="54">
        <v>1.171130427953877</v>
      </c>
      <c r="X39" s="3">
        <v>0.19282714525293054</v>
      </c>
      <c r="Y39" s="3">
        <v>0.35813487987426063</v>
      </c>
      <c r="Z39" s="54">
        <v>0.68510000000000004</v>
      </c>
    </row>
    <row r="40" spans="1:26">
      <c r="A40" t="s">
        <v>237</v>
      </c>
      <c r="B40">
        <v>896</v>
      </c>
      <c r="C40" s="3">
        <v>0.15152649797570858</v>
      </c>
      <c r="D40" s="54">
        <v>0.16592267025817622</v>
      </c>
      <c r="E40" s="3">
        <v>0.1352276726043494</v>
      </c>
      <c r="F40" s="54">
        <v>7.8917984948315464E-2</v>
      </c>
      <c r="G40" s="66">
        <v>1.0286315830635437</v>
      </c>
      <c r="H40" s="65">
        <v>1.1305011645147018</v>
      </c>
      <c r="I40" s="3">
        <v>0.1290139929282732</v>
      </c>
      <c r="J40" s="3">
        <v>0.43161496413982586</v>
      </c>
      <c r="K40" s="3">
        <v>6.9500000000000006E-2</v>
      </c>
      <c r="L40" s="3">
        <v>0.11619162184556213</v>
      </c>
      <c r="M40" s="3">
        <v>0.12010678468633547</v>
      </c>
      <c r="N40" s="65">
        <v>0.95057028731285942</v>
      </c>
      <c r="O40" s="65">
        <v>4.401980924665958</v>
      </c>
      <c r="P40" s="65">
        <v>17.54319683749446</v>
      </c>
      <c r="Q40" s="65">
        <v>27.465650956358477</v>
      </c>
      <c r="R40" s="65">
        <v>3.6045967641993903</v>
      </c>
      <c r="S40" s="65">
        <v>55.299306422827527</v>
      </c>
      <c r="T40" s="3">
        <v>0.24351064396568506</v>
      </c>
      <c r="U40" s="54">
        <v>9.7684912210769165E-2</v>
      </c>
      <c r="V40" s="3">
        <v>0.10326654607578553</v>
      </c>
      <c r="W40" s="54">
        <v>1.1082463831838485</v>
      </c>
      <c r="X40" s="3">
        <v>7.8992341195298507E-2</v>
      </c>
      <c r="Y40" s="3">
        <v>0.47892134430038719</v>
      </c>
      <c r="Z40" s="54">
        <v>1.1255999999999999</v>
      </c>
    </row>
    <row r="41" spans="1:26">
      <c r="A41" t="s">
        <v>238</v>
      </c>
      <c r="B41">
        <v>460</v>
      </c>
      <c r="C41" s="3">
        <v>0.14661127906976745</v>
      </c>
      <c r="D41" s="54">
        <v>4.4757803102669858E-2</v>
      </c>
      <c r="E41" s="3">
        <v>0.24286107738383947</v>
      </c>
      <c r="F41" s="54">
        <v>0.14377854804790394</v>
      </c>
      <c r="G41" s="66">
        <v>0.84002339983549523</v>
      </c>
      <c r="H41" s="65">
        <v>1.0131363720531945</v>
      </c>
      <c r="I41" s="3">
        <v>0.11964828248984492</v>
      </c>
      <c r="J41" s="3">
        <v>0.38241271592555787</v>
      </c>
      <c r="K41" s="3">
        <v>6.9500000000000006E-2</v>
      </c>
      <c r="L41" s="3">
        <v>0.21480632072052405</v>
      </c>
      <c r="M41" s="3">
        <v>0.105193120444886</v>
      </c>
      <c r="N41" s="65">
        <v>6.7790063689414541</v>
      </c>
      <c r="O41" s="65">
        <v>0.68587290219167485</v>
      </c>
      <c r="P41" s="65">
        <v>11.670725837391533</v>
      </c>
      <c r="Q41" s="65">
        <v>15.975037197614578</v>
      </c>
      <c r="R41" s="65">
        <v>2.8275940639627919</v>
      </c>
      <c r="S41" s="65">
        <v>41.59070570653649</v>
      </c>
      <c r="T41" s="3">
        <v>-3.4790745486122918E-2</v>
      </c>
      <c r="U41" s="54">
        <v>1.5410618551876044E-2</v>
      </c>
      <c r="V41" s="3">
        <v>1.147731795337012E-2</v>
      </c>
      <c r="W41" s="54">
        <v>0.46684760161861932</v>
      </c>
      <c r="X41" s="3">
        <v>0.10886237618760991</v>
      </c>
      <c r="Y41" s="3">
        <v>0.37539624729138682</v>
      </c>
      <c r="Z41" s="54">
        <v>0.57069999999999999</v>
      </c>
    </row>
    <row r="42" spans="1:26">
      <c r="A42" t="s">
        <v>239</v>
      </c>
      <c r="B42">
        <v>447</v>
      </c>
      <c r="C42" s="3">
        <v>0.20462864035087733</v>
      </c>
      <c r="D42" s="54">
        <v>0.18158682601569384</v>
      </c>
      <c r="E42" s="3">
        <v>0.16356639499180595</v>
      </c>
      <c r="F42" s="54">
        <v>7.7257296108832071E-2</v>
      </c>
      <c r="G42" s="66">
        <v>1.2274453056379246</v>
      </c>
      <c r="H42" s="65">
        <v>1.3377797757878629</v>
      </c>
      <c r="I42" s="3">
        <v>0.14555482610787146</v>
      </c>
      <c r="J42" s="3">
        <v>0.45081477143098153</v>
      </c>
      <c r="K42" s="3">
        <v>6.9500000000000006E-2</v>
      </c>
      <c r="L42" s="3">
        <v>0.10660654390272724</v>
      </c>
      <c r="M42" s="3">
        <v>0.13561904545992257</v>
      </c>
      <c r="N42" s="65">
        <v>1.0682277315056228</v>
      </c>
      <c r="O42" s="65">
        <v>5.5013594716637444</v>
      </c>
      <c r="P42" s="65">
        <v>20.992704781338507</v>
      </c>
      <c r="Q42" s="65">
        <v>33.022761124162685</v>
      </c>
      <c r="R42" s="65">
        <v>4.3589307174771452</v>
      </c>
      <c r="S42" s="65">
        <v>52.052376257643353</v>
      </c>
      <c r="T42" s="3">
        <v>0.22881100885747016</v>
      </c>
      <c r="U42" s="54">
        <v>0.18777212825730508</v>
      </c>
      <c r="V42" s="3">
        <v>0.14879751394370175</v>
      </c>
      <c r="W42" s="54">
        <v>1.4410021525209946</v>
      </c>
      <c r="X42" s="3">
        <v>3.5050016747700995E-2</v>
      </c>
      <c r="Y42" s="3">
        <v>0.35753705040317413</v>
      </c>
      <c r="Z42" s="54">
        <v>1.2165999999999999</v>
      </c>
    </row>
    <row r="43" spans="1:26">
      <c r="A43" t="s">
        <v>240</v>
      </c>
      <c r="B43">
        <v>171</v>
      </c>
      <c r="C43" s="3">
        <v>7.5865362318840626E-2</v>
      </c>
      <c r="D43" s="54">
        <v>0.1570896009177114</v>
      </c>
      <c r="E43" s="3">
        <v>0.17576561641927174</v>
      </c>
      <c r="F43" s="54">
        <v>0.19464553872415333</v>
      </c>
      <c r="G43" s="66">
        <v>0.84620197610669134</v>
      </c>
      <c r="H43" s="65">
        <v>1.1397794466928413</v>
      </c>
      <c r="I43" s="3">
        <v>0.12975439984608872</v>
      </c>
      <c r="J43" s="3">
        <v>0.28509702105698664</v>
      </c>
      <c r="K43" s="3">
        <v>6.9500000000000006E-2</v>
      </c>
      <c r="L43" s="3">
        <v>0.31532837433795108</v>
      </c>
      <c r="M43" s="3">
        <v>0.10534796795444518</v>
      </c>
      <c r="N43" s="65">
        <v>1.4588857872173531</v>
      </c>
      <c r="O43" s="65">
        <v>0.85443294966352978</v>
      </c>
      <c r="P43" s="65">
        <v>5.0324708317726499</v>
      </c>
      <c r="Q43" s="65">
        <v>5.6291972439872957</v>
      </c>
      <c r="R43" s="65">
        <v>1.1140152455630299</v>
      </c>
      <c r="S43" s="65">
        <v>26.850355328605822</v>
      </c>
      <c r="T43" s="3">
        <v>0.61661866840206481</v>
      </c>
      <c r="U43" s="54">
        <v>5.5436818757800353E-3</v>
      </c>
      <c r="V43" s="3">
        <v>1.1182492565286405E-2</v>
      </c>
      <c r="W43" s="54">
        <v>0.74946002329353456</v>
      </c>
      <c r="X43" s="3">
        <v>0.19431222567463893</v>
      </c>
      <c r="Y43" s="3">
        <v>0.16051300014034145</v>
      </c>
      <c r="Z43" s="54">
        <v>0.77459999999999996</v>
      </c>
    </row>
    <row r="44" spans="1:26">
      <c r="A44" t="s">
        <v>241</v>
      </c>
      <c r="B44">
        <v>231</v>
      </c>
      <c r="C44" s="3">
        <v>9.0183986928104559E-2</v>
      </c>
      <c r="D44" s="54">
        <v>0.11662648777663837</v>
      </c>
      <c r="E44" s="3">
        <v>0.11635149727764249</v>
      </c>
      <c r="F44" s="54">
        <v>0.15518125789153106</v>
      </c>
      <c r="G44" s="66">
        <v>0.55336283316577506</v>
      </c>
      <c r="H44" s="65">
        <v>0.76794023174770742</v>
      </c>
      <c r="I44" s="3">
        <v>0.10008163049346705</v>
      </c>
      <c r="J44" s="3">
        <v>0.31837828004372998</v>
      </c>
      <c r="K44" s="3">
        <v>6.9500000000000006E-2</v>
      </c>
      <c r="L44" s="3">
        <v>0.33983004729540051</v>
      </c>
      <c r="M44" s="3">
        <v>8.386246650609129E-2</v>
      </c>
      <c r="N44" s="65">
        <v>1.2424263296458609</v>
      </c>
      <c r="O44" s="65">
        <v>2.3120736886481557</v>
      </c>
      <c r="P44" s="65">
        <v>13.54146808270113</v>
      </c>
      <c r="Q44" s="65">
        <v>20.526220971974809</v>
      </c>
      <c r="R44" s="65">
        <v>3.7479687612787038</v>
      </c>
      <c r="S44" s="65">
        <v>51.882384621484761</v>
      </c>
      <c r="T44" s="3">
        <v>6.4021195070783563E-2</v>
      </c>
      <c r="U44" s="54">
        <v>3.7465617423834127E-2</v>
      </c>
      <c r="V44" s="3">
        <v>3.1508810674146785E-2</v>
      </c>
      <c r="W44" s="54">
        <v>0.56708032204861203</v>
      </c>
      <c r="X44" s="3">
        <v>0.15650807269310177</v>
      </c>
      <c r="Y44" s="3">
        <v>0.31772256372534741</v>
      </c>
      <c r="Z44" s="54">
        <v>1.0028999999999999</v>
      </c>
    </row>
    <row r="45" spans="1:26">
      <c r="A45" t="s">
        <v>242</v>
      </c>
      <c r="B45">
        <v>650</v>
      </c>
      <c r="C45" s="3">
        <v>-1.46983857442348E-2</v>
      </c>
      <c r="D45" s="54">
        <v>7.5427242573022454E-2</v>
      </c>
      <c r="E45" s="3">
        <v>2.1470742209970764E-2</v>
      </c>
      <c r="F45" s="54">
        <v>8.3601570278399873E-2</v>
      </c>
      <c r="G45" s="66">
        <v>0.68122693750147922</v>
      </c>
      <c r="H45" s="65">
        <v>0.97058639732290319</v>
      </c>
      <c r="I45" s="3">
        <v>0.11625279450636768</v>
      </c>
      <c r="J45" s="3">
        <v>0.34991307923365311</v>
      </c>
      <c r="K45" s="3">
        <v>6.9500000000000006E-2</v>
      </c>
      <c r="L45" s="3">
        <v>0.36056008478203067</v>
      </c>
      <c r="M45" s="3">
        <v>9.3213565937711865E-2</v>
      </c>
      <c r="N45" s="65">
        <v>0.56318485275992658</v>
      </c>
      <c r="O45" s="65">
        <v>3.8920959066172398</v>
      </c>
      <c r="P45" s="65">
        <v>16.455046468185142</v>
      </c>
      <c r="Q45" s="65">
        <v>74.007529132549607</v>
      </c>
      <c r="R45" s="65">
        <v>3.1356479827955788</v>
      </c>
      <c r="S45" s="65">
        <v>71.886708344430716</v>
      </c>
      <c r="T45" s="3">
        <v>7.4461963202217115E-3</v>
      </c>
      <c r="U45" s="54">
        <v>8.1575691891312072E-3</v>
      </c>
      <c r="V45" s="3">
        <v>1.6421566811355561E-2</v>
      </c>
      <c r="W45" s="54">
        <v>1.1479792696025544</v>
      </c>
      <c r="X45" s="3">
        <v>2.2693214706000397E-2</v>
      </c>
      <c r="Y45" s="3">
        <v>0.76205189764877668</v>
      </c>
      <c r="Z45" s="54">
        <v>0.57350000000000001</v>
      </c>
    </row>
    <row r="46" spans="1:26">
      <c r="A46" t="s">
        <v>243</v>
      </c>
      <c r="B46">
        <v>589</v>
      </c>
      <c r="C46" s="3">
        <v>6.8795195530726189E-2</v>
      </c>
      <c r="D46" s="54">
        <v>0.15385562737699945</v>
      </c>
      <c r="E46" s="3">
        <v>0.22892705098975522</v>
      </c>
      <c r="F46" s="54">
        <v>0.11695986517649924</v>
      </c>
      <c r="G46" s="66">
        <v>0.92631171278620295</v>
      </c>
      <c r="H46" s="65">
        <v>1.0240740179746777</v>
      </c>
      <c r="I46" s="3">
        <v>0.12052110663437927</v>
      </c>
      <c r="J46" s="3">
        <v>0.37891980080211041</v>
      </c>
      <c r="K46" s="3">
        <v>6.9500000000000006E-2</v>
      </c>
      <c r="L46" s="3">
        <v>0.12288598649272289</v>
      </c>
      <c r="M46" s="3">
        <v>0.11214436749935422</v>
      </c>
      <c r="N46" s="65">
        <v>1.748546760596642</v>
      </c>
      <c r="O46" s="65">
        <v>3.3530050782266416</v>
      </c>
      <c r="P46" s="65">
        <v>17.791187993381833</v>
      </c>
      <c r="Q46" s="65">
        <v>22.186521995295013</v>
      </c>
      <c r="R46" s="65">
        <v>5.2426976351351451</v>
      </c>
      <c r="S46" s="65">
        <v>74.726398649483642</v>
      </c>
      <c r="T46" s="3">
        <v>6.5154198848333789E-2</v>
      </c>
      <c r="U46" s="54">
        <v>2.1690463776742441E-2</v>
      </c>
      <c r="V46" s="3">
        <v>2.6033477826032644E-2</v>
      </c>
      <c r="W46" s="54">
        <v>0.35417315095367757</v>
      </c>
      <c r="X46" s="3">
        <v>0.19391815619878336</v>
      </c>
      <c r="Y46" s="3">
        <v>0.59982517906400279</v>
      </c>
      <c r="Z46" s="54">
        <v>0.3548</v>
      </c>
    </row>
    <row r="47" spans="1:26">
      <c r="A47" t="s">
        <v>244</v>
      </c>
      <c r="B47">
        <v>242</v>
      </c>
      <c r="C47" s="3">
        <v>0.1099322137404581</v>
      </c>
      <c r="D47" s="54">
        <v>0.23243020186180677</v>
      </c>
      <c r="E47" s="3">
        <v>0.28674950161733914</v>
      </c>
      <c r="F47" s="54">
        <v>0.15757329020462577</v>
      </c>
      <c r="G47" s="66">
        <v>1.2758263973728798</v>
      </c>
      <c r="H47" s="65">
        <v>1.4107202256089806</v>
      </c>
      <c r="I47" s="3">
        <v>0.15137547400359663</v>
      </c>
      <c r="J47" s="3">
        <v>0.40765639840290036</v>
      </c>
      <c r="K47" s="3">
        <v>6.9500000000000006E-2</v>
      </c>
      <c r="L47" s="3">
        <v>0.12308124671080803</v>
      </c>
      <c r="M47" s="3">
        <v>0.13918783061052845</v>
      </c>
      <c r="N47" s="65">
        <v>1.5812475805660275</v>
      </c>
      <c r="O47" s="65">
        <v>5.4754784425523511</v>
      </c>
      <c r="P47" s="65">
        <v>18.24986278020042</v>
      </c>
      <c r="Q47" s="65">
        <v>24.826073772056251</v>
      </c>
      <c r="R47" s="65">
        <v>5.2587903039288859</v>
      </c>
      <c r="S47" s="65">
        <v>54.49701097519528</v>
      </c>
      <c r="T47" s="3">
        <v>2.9592502219401365E-2</v>
      </c>
      <c r="U47" s="54">
        <v>4.094854330100154E-2</v>
      </c>
      <c r="V47" s="3">
        <v>2.5610685683135626E-2</v>
      </c>
      <c r="W47" s="54">
        <v>0.36520338073701031</v>
      </c>
      <c r="X47" s="3">
        <v>0.14456373910874776</v>
      </c>
      <c r="Y47" s="3">
        <v>0.30606857936674892</v>
      </c>
      <c r="Z47" s="54">
        <v>0.25440000000000002</v>
      </c>
    </row>
    <row r="48" spans="1:26">
      <c r="A48" t="s">
        <v>245</v>
      </c>
      <c r="B48">
        <v>206</v>
      </c>
      <c r="C48" s="3">
        <v>6.3152899408284016E-2</v>
      </c>
      <c r="D48" s="54">
        <v>0.10750737911371129</v>
      </c>
      <c r="E48" s="3">
        <v>0.11101717127867118</v>
      </c>
      <c r="F48" s="54">
        <v>0.15161157710226905</v>
      </c>
      <c r="G48" s="66">
        <v>0.52702263429846541</v>
      </c>
      <c r="H48" s="65">
        <v>0.69066681475722358</v>
      </c>
      <c r="I48" s="3">
        <v>9.3915211817626437E-2</v>
      </c>
      <c r="J48" s="3">
        <v>0.25272166193104129</v>
      </c>
      <c r="K48" s="3">
        <v>6.9500000000000006E-2</v>
      </c>
      <c r="L48" s="3">
        <v>0.2918827858410955</v>
      </c>
      <c r="M48" s="3">
        <v>8.1784311688340827E-2</v>
      </c>
      <c r="N48" s="65">
        <v>1.24965626436614</v>
      </c>
      <c r="O48" s="65">
        <v>1.188008263499676</v>
      </c>
      <c r="P48" s="65">
        <v>8.9022015071971357</v>
      </c>
      <c r="Q48" s="65">
        <v>11.079319418780047</v>
      </c>
      <c r="R48" s="65">
        <v>1.7521574454494151</v>
      </c>
      <c r="S48" s="65">
        <v>38.508132037411606</v>
      </c>
      <c r="T48" s="3">
        <v>4.5398911100244445E-2</v>
      </c>
      <c r="U48" s="54">
        <v>1.2234780105357555E-3</v>
      </c>
      <c r="V48" s="3">
        <v>6.7555680333910902E-3</v>
      </c>
      <c r="W48" s="54">
        <v>0.40041511839985872</v>
      </c>
      <c r="X48" s="3">
        <v>0.1109472421073442</v>
      </c>
      <c r="Y48" s="3">
        <v>0.3914994014939252</v>
      </c>
      <c r="Z48" s="54">
        <v>0.10249999999999999</v>
      </c>
    </row>
    <row r="49" spans="1:26">
      <c r="A49" t="s">
        <v>246</v>
      </c>
      <c r="B49">
        <v>142</v>
      </c>
      <c r="C49" s="3">
        <v>0.10457288288288295</v>
      </c>
      <c r="D49" s="54">
        <v>5.8662964816057338E-2</v>
      </c>
      <c r="E49" s="3">
        <v>3.9384734913749324E-2</v>
      </c>
      <c r="F49" s="54">
        <v>0.13375119623847986</v>
      </c>
      <c r="G49" s="66">
        <v>0.51886094916129821</v>
      </c>
      <c r="H49" s="65">
        <v>0.90378650219753498</v>
      </c>
      <c r="I49" s="3">
        <v>0.11092216287536329</v>
      </c>
      <c r="J49" s="3">
        <v>0.23901505811759377</v>
      </c>
      <c r="K49" s="3">
        <v>6.1800000000000001E-2</v>
      </c>
      <c r="L49" s="3">
        <v>0.49617651063680412</v>
      </c>
      <c r="M49" s="3">
        <v>7.8984162653173415E-2</v>
      </c>
      <c r="N49" s="65">
        <v>0.80201760425906587</v>
      </c>
      <c r="O49" s="65">
        <v>1.1271766774918102</v>
      </c>
      <c r="P49" s="65">
        <v>11.129244835533825</v>
      </c>
      <c r="Q49" s="65">
        <v>16.271411386726815</v>
      </c>
      <c r="R49" s="65">
        <v>1.2578747095304454</v>
      </c>
      <c r="S49" s="65">
        <v>27.359392745137853</v>
      </c>
      <c r="T49" s="3">
        <v>-1.0607068814046108</v>
      </c>
      <c r="U49" s="54">
        <v>6.0496076868057202E-3</v>
      </c>
      <c r="V49" s="3">
        <v>1.2637845656328256E-2</v>
      </c>
      <c r="W49" s="54">
        <v>0.24419652289647661</v>
      </c>
      <c r="X49" s="3">
        <v>7.0183178984228919E-2</v>
      </c>
      <c r="Y49" s="3">
        <v>0.45904302814741293</v>
      </c>
      <c r="Z49" s="54">
        <v>0.16700000000000001</v>
      </c>
    </row>
    <row r="50" spans="1:26">
      <c r="A50" t="s">
        <v>247</v>
      </c>
      <c r="B50">
        <v>235</v>
      </c>
      <c r="C50" s="3">
        <v>6.4738636363636318E-2</v>
      </c>
      <c r="D50" s="54">
        <v>6.6450574415420779E-2</v>
      </c>
      <c r="E50" s="3">
        <v>6.7197915070148037E-2</v>
      </c>
      <c r="F50" s="54">
        <v>0.15806135129289095</v>
      </c>
      <c r="G50" s="66">
        <v>0.62643640999682892</v>
      </c>
      <c r="H50" s="65">
        <v>0.74575047892416713</v>
      </c>
      <c r="I50" s="3">
        <v>9.831088821814854E-2</v>
      </c>
      <c r="J50" s="3">
        <v>0.26692529380793906</v>
      </c>
      <c r="K50" s="3">
        <v>6.9500000000000006E-2</v>
      </c>
      <c r="L50" s="3">
        <v>0.20181381932143566</v>
      </c>
      <c r="M50" s="3">
        <v>8.9036223717552473E-2</v>
      </c>
      <c r="N50" s="65">
        <v>1.2439988186908715</v>
      </c>
      <c r="O50" s="65">
        <v>1.1056855730020798</v>
      </c>
      <c r="P50" s="65">
        <v>12.606428708454226</v>
      </c>
      <c r="Q50" s="65">
        <v>16.619567458404536</v>
      </c>
      <c r="R50" s="65">
        <v>1.5933275666493296</v>
      </c>
      <c r="S50" s="65">
        <v>20.316274143034072</v>
      </c>
      <c r="T50" s="3">
        <v>-0.41454863611787118</v>
      </c>
      <c r="U50" s="54">
        <v>1.293375445952712E-2</v>
      </c>
      <c r="V50" s="3">
        <v>2.7305540715448855E-3</v>
      </c>
      <c r="W50" s="54">
        <v>0.34426103752747311</v>
      </c>
      <c r="X50" s="3">
        <v>6.7870937712370794E-2</v>
      </c>
      <c r="Y50" s="3">
        <v>0.54947809797432756</v>
      </c>
      <c r="Z50" s="54">
        <v>9.8400000000000001E-2</v>
      </c>
    </row>
    <row r="51" spans="1:26">
      <c r="A51" t="s">
        <v>248</v>
      </c>
      <c r="B51">
        <v>1660</v>
      </c>
      <c r="C51" s="3">
        <v>0.11960795744680854</v>
      </c>
      <c r="D51" s="54">
        <v>0.22316518447255851</v>
      </c>
      <c r="E51" s="3">
        <v>6.2599876476218549E-2</v>
      </c>
      <c r="F51" s="54">
        <v>5.7584685207748412E-2</v>
      </c>
      <c r="G51" s="66">
        <v>0.50320090503906478</v>
      </c>
      <c r="H51" s="65">
        <v>0.79218334924212164</v>
      </c>
      <c r="I51" s="3">
        <v>0.10201623126952131</v>
      </c>
      <c r="J51" s="3">
        <v>0.26550357638295474</v>
      </c>
      <c r="K51" s="3">
        <v>6.9500000000000006E-2</v>
      </c>
      <c r="L51" s="3">
        <v>0.43258015946052009</v>
      </c>
      <c r="M51" s="3">
        <v>8.0533486750842362E-2</v>
      </c>
      <c r="N51" s="65">
        <v>0.32929523205310735</v>
      </c>
      <c r="O51" s="65">
        <v>4.6387887741941149</v>
      </c>
      <c r="P51" s="65">
        <v>12.510631400512599</v>
      </c>
      <c r="Q51" s="65">
        <v>15.16699627760411</v>
      </c>
      <c r="R51" s="65">
        <v>1.4294350080625697</v>
      </c>
      <c r="S51" s="65">
        <v>237.99123963506088</v>
      </c>
      <c r="T51" t="s">
        <v>584</v>
      </c>
      <c r="U51" s="54">
        <v>4.1675217813524415E-2</v>
      </c>
      <c r="V51" s="3">
        <v>0.13382356189944222</v>
      </c>
      <c r="W51" s="54">
        <v>0.92376896892922944</v>
      </c>
      <c r="X51" s="3">
        <v>0.12311740738383642</v>
      </c>
      <c r="Y51" s="3">
        <v>0.47729614764336215</v>
      </c>
      <c r="Z51" s="54">
        <v>0.63490000000000002</v>
      </c>
    </row>
    <row r="52" spans="1:26">
      <c r="A52" t="s">
        <v>249</v>
      </c>
      <c r="B52">
        <v>1463</v>
      </c>
      <c r="C52" s="3">
        <v>7.4357194780987929E-2</v>
      </c>
      <c r="D52" s="54">
        <v>0.10090486776596011</v>
      </c>
      <c r="E52" s="3">
        <v>0.11441000402524393</v>
      </c>
      <c r="F52" s="54">
        <v>0.15892227265306122</v>
      </c>
      <c r="G52" s="66">
        <v>0.97533879707482507</v>
      </c>
      <c r="H52" s="65">
        <v>1.1021402522422057</v>
      </c>
      <c r="I52" s="3">
        <v>0.12675079212892801</v>
      </c>
      <c r="J52" s="3">
        <v>0.31622845943757366</v>
      </c>
      <c r="K52" s="3">
        <v>6.9500000000000006E-2</v>
      </c>
      <c r="L52" s="3">
        <v>0.14718270181512369</v>
      </c>
      <c r="M52" s="3">
        <v>0.11580092277095988</v>
      </c>
      <c r="N52" s="65">
        <v>1.4166874133694627</v>
      </c>
      <c r="O52" s="65">
        <v>1.9747841954393592</v>
      </c>
      <c r="P52" s="65">
        <v>13.995107287843217</v>
      </c>
      <c r="Q52" s="65">
        <v>19.532098995488457</v>
      </c>
      <c r="R52" s="65">
        <v>2.7467697368619257</v>
      </c>
      <c r="S52" s="65">
        <v>38.913964145792391</v>
      </c>
      <c r="T52" s="3">
        <v>0.28268996472541225</v>
      </c>
      <c r="U52" s="54">
        <v>3.0665116726434054E-2</v>
      </c>
      <c r="V52" s="3">
        <v>5.2782923233098585E-2</v>
      </c>
      <c r="W52" s="54">
        <v>1.3529004573697616</v>
      </c>
      <c r="X52" s="3">
        <v>0.10790104842911155</v>
      </c>
      <c r="Y52" s="3">
        <v>0.39724065432609074</v>
      </c>
      <c r="Z52" s="54">
        <v>0.92400000000000004</v>
      </c>
    </row>
    <row r="53" spans="1:26">
      <c r="A53" t="s">
        <v>250</v>
      </c>
      <c r="B53">
        <v>1783</v>
      </c>
      <c r="C53" s="3">
        <v>0.14998445360824739</v>
      </c>
      <c r="D53" s="54">
        <v>0.16644245964440083</v>
      </c>
      <c r="E53" s="3">
        <v>0.24562183011742217</v>
      </c>
      <c r="F53" s="54">
        <v>4.3555041675517624E-2</v>
      </c>
      <c r="G53" s="66">
        <v>0.99809183127492518</v>
      </c>
      <c r="H53" s="65">
        <v>1.1980661936405959</v>
      </c>
      <c r="I53" s="3">
        <v>0.13440568225251953</v>
      </c>
      <c r="J53" s="3">
        <v>0.61690411142274737</v>
      </c>
      <c r="K53" s="3">
        <v>7.3300000000000004E-2</v>
      </c>
      <c r="L53" s="3">
        <v>0.21009308863775686</v>
      </c>
      <c r="M53" s="3">
        <v>0.11776866430269403</v>
      </c>
      <c r="N53" s="65">
        <v>1.5541907800285226</v>
      </c>
      <c r="O53" s="65">
        <v>1.1859212203390777</v>
      </c>
      <c r="P53" s="65">
        <v>5.300524863110458</v>
      </c>
      <c r="Q53" s="65">
        <v>6.8194393583688351</v>
      </c>
      <c r="R53" s="65">
        <v>1.8251328688458563</v>
      </c>
      <c r="S53" s="65">
        <v>76.701735519732694</v>
      </c>
      <c r="T53" s="3">
        <v>0.10964360197616566</v>
      </c>
      <c r="U53" s="54">
        <v>3.024735011445874E-2</v>
      </c>
      <c r="V53" s="3">
        <v>3.6642012812418592E-2</v>
      </c>
      <c r="W53" s="54">
        <v>0.57132784278564519</v>
      </c>
      <c r="X53" s="3">
        <v>0.2395479215961703</v>
      </c>
      <c r="Y53" s="3">
        <v>0.47218810263430189</v>
      </c>
      <c r="Z53" s="54">
        <v>0.58720000000000006</v>
      </c>
    </row>
    <row r="54" spans="1:26">
      <c r="A54" t="s">
        <v>251</v>
      </c>
      <c r="B54">
        <v>144</v>
      </c>
      <c r="C54" s="3">
        <v>6.0780172413793132E-2</v>
      </c>
      <c r="D54" s="54">
        <v>7.2415120861683932E-2</v>
      </c>
      <c r="E54" s="3">
        <v>0.10525106285728021</v>
      </c>
      <c r="F54" s="54">
        <v>0.17428981019463172</v>
      </c>
      <c r="G54" s="66">
        <v>0.73850061843513415</v>
      </c>
      <c r="H54" s="65">
        <v>0.92524147810104651</v>
      </c>
      <c r="I54" s="3">
        <v>0.11263426995246351</v>
      </c>
      <c r="J54" s="3">
        <v>0.33105972711523934</v>
      </c>
      <c r="K54" s="3">
        <v>6.9500000000000006E-2</v>
      </c>
      <c r="L54" s="3">
        <v>0.25131553911848697</v>
      </c>
      <c r="M54" s="3">
        <v>9.7484989371590905E-2</v>
      </c>
      <c r="N54" s="65">
        <v>1.8244325968890227</v>
      </c>
      <c r="O54" s="65">
        <v>0.9905845551087058</v>
      </c>
      <c r="P54" s="65">
        <v>8.5271118915928348</v>
      </c>
      <c r="Q54" s="65">
        <v>13.298596323993481</v>
      </c>
      <c r="R54" s="65">
        <v>1.7846844806000841</v>
      </c>
      <c r="S54" s="65">
        <v>38.12834128674367</v>
      </c>
      <c r="T54" s="3">
        <v>0.12932312282789618</v>
      </c>
      <c r="U54" s="54">
        <v>4.9158187660709347E-2</v>
      </c>
      <c r="V54" s="3">
        <v>2.8513177071206312E-2</v>
      </c>
      <c r="W54" s="54">
        <v>1.093383155296316</v>
      </c>
      <c r="X54" s="3">
        <v>5.7369127188005534E-2</v>
      </c>
      <c r="Y54" s="3">
        <v>0.63488890541059773</v>
      </c>
      <c r="Z54" s="54">
        <v>0.82889999999999997</v>
      </c>
    </row>
    <row r="55" spans="1:26">
      <c r="A55" t="s">
        <v>252</v>
      </c>
      <c r="B55">
        <v>36</v>
      </c>
      <c r="C55" s="3">
        <v>0.14567833333333333</v>
      </c>
      <c r="D55" s="54">
        <v>0.20441448728134015</v>
      </c>
      <c r="E55" s="3">
        <v>0.27004010102815007</v>
      </c>
      <c r="F55" s="54">
        <v>0.25764677318031348</v>
      </c>
      <c r="G55" s="66">
        <v>0.94582856040179419</v>
      </c>
      <c r="H55" s="65">
        <v>1.084261071514385</v>
      </c>
      <c r="I55" s="3">
        <v>0.12532403350684793</v>
      </c>
      <c r="J55" s="3">
        <v>0.290654684170079</v>
      </c>
      <c r="K55" s="3">
        <v>6.9500000000000006E-2</v>
      </c>
      <c r="L55" s="3">
        <v>0.16268470683281316</v>
      </c>
      <c r="M55" s="3">
        <v>0.11345298193785319</v>
      </c>
      <c r="N55" s="65">
        <v>1.7857895827693153</v>
      </c>
      <c r="O55" s="65">
        <v>1.1058383997115753</v>
      </c>
      <c r="P55" s="65">
        <v>4.3448854858449613</v>
      </c>
      <c r="Q55" s="65">
        <v>5.4280645644302892</v>
      </c>
      <c r="R55" s="65">
        <v>2.0049151503678555</v>
      </c>
      <c r="S55" s="65">
        <v>9.0007964734467958</v>
      </c>
      <c r="T55" s="3">
        <v>3.1817707137746329E-2</v>
      </c>
      <c r="U55" s="54">
        <v>-9.8096557657455698E-3</v>
      </c>
      <c r="V55" s="3">
        <v>1.0887406636895138E-2</v>
      </c>
      <c r="W55" s="54">
        <v>0.25434157304490956</v>
      </c>
      <c r="X55" s="3">
        <v>0.27383892566202067</v>
      </c>
      <c r="Y55" s="3">
        <v>0.37303344260196158</v>
      </c>
      <c r="Z55" s="54">
        <v>0.3679</v>
      </c>
    </row>
    <row r="56" spans="1:26">
      <c r="A56" t="s">
        <v>253</v>
      </c>
      <c r="B56">
        <v>616</v>
      </c>
      <c r="C56" s="3">
        <v>0.30223883792048944</v>
      </c>
      <c r="D56" s="54">
        <v>0.39966175008860183</v>
      </c>
      <c r="E56" s="3">
        <v>0.31379162613860156</v>
      </c>
      <c r="F56" s="54">
        <v>7.7290758961238548E-2</v>
      </c>
      <c r="G56" s="66">
        <v>1.0910185569193993</v>
      </c>
      <c r="H56" s="65">
        <v>1.3064445801888949</v>
      </c>
      <c r="I56" s="3">
        <v>0.14305427749907379</v>
      </c>
      <c r="J56" s="3">
        <v>0.5761526246802835</v>
      </c>
      <c r="K56" s="3">
        <v>7.3300000000000004E-2</v>
      </c>
      <c r="L56" s="3">
        <v>0.20768151674921126</v>
      </c>
      <c r="M56" s="3">
        <v>0.12481207563597795</v>
      </c>
      <c r="N56" s="65">
        <v>0.86121731092209874</v>
      </c>
      <c r="O56" s="65">
        <v>2.0731720837297396</v>
      </c>
      <c r="P56" s="65">
        <v>3.7472101694724449</v>
      </c>
      <c r="Q56" s="65">
        <v>5.1624357278110722</v>
      </c>
      <c r="R56" s="65">
        <v>1.7300606771239979</v>
      </c>
      <c r="S56" s="65">
        <v>15.176434666764806</v>
      </c>
      <c r="T56" s="3">
        <v>-3.4048080229958685E-2</v>
      </c>
      <c r="U56" s="54">
        <v>4.4157296385609144E-3</v>
      </c>
      <c r="V56" s="3">
        <v>0.10412878403283038</v>
      </c>
      <c r="W56" s="54">
        <v>0.39979108991661882</v>
      </c>
      <c r="X56" s="3">
        <v>0.34554609990982482</v>
      </c>
      <c r="Y56" s="3">
        <v>0.23995987250134324</v>
      </c>
      <c r="Z56" s="54">
        <v>1.3816999999999999</v>
      </c>
    </row>
    <row r="57" spans="1:26">
      <c r="A57" t="s">
        <v>254</v>
      </c>
      <c r="B57">
        <v>166</v>
      </c>
      <c r="C57" s="3">
        <v>0.16448449152542369</v>
      </c>
      <c r="D57" s="54">
        <v>0.10685102359674453</v>
      </c>
      <c r="E57" s="3">
        <v>6.7858428077638394E-2</v>
      </c>
      <c r="F57" s="54">
        <v>0.11717454156476204</v>
      </c>
      <c r="G57" s="66">
        <v>0.61868827943881066</v>
      </c>
      <c r="H57" s="65">
        <v>0.95988331574324681</v>
      </c>
      <c r="I57" s="3">
        <v>0.1153986885963111</v>
      </c>
      <c r="J57" s="3">
        <v>0.31692919401817637</v>
      </c>
      <c r="K57" s="3">
        <v>6.9500000000000006E-2</v>
      </c>
      <c r="L57" s="3">
        <v>0.42266188084582412</v>
      </c>
      <c r="M57" s="3">
        <v>8.8752249868513267E-2</v>
      </c>
      <c r="N57" s="65">
        <v>0.73009263082634401</v>
      </c>
      <c r="O57" s="65">
        <v>2.1330247885411833</v>
      </c>
      <c r="P57" s="65">
        <v>11.700012064245559</v>
      </c>
      <c r="Q57" s="65">
        <v>18.500278519062103</v>
      </c>
      <c r="R57" s="65">
        <v>1.8164371624196047</v>
      </c>
      <c r="S57" s="65">
        <v>40.136513779731757</v>
      </c>
      <c r="T57" s="3">
        <v>3.9146025407527839E-2</v>
      </c>
      <c r="U57" s="54">
        <v>3.6244249060791482E-2</v>
      </c>
      <c r="V57" s="3">
        <v>4.9080369154499467E-2</v>
      </c>
      <c r="W57" s="54">
        <v>0.72807608387840983</v>
      </c>
      <c r="X57" s="3">
        <v>8.4745790010922972E-2</v>
      </c>
      <c r="Y57" s="3">
        <v>1.1059354092352709</v>
      </c>
      <c r="Z57" s="54">
        <v>1.0173000000000001</v>
      </c>
    </row>
    <row r="58" spans="1:26">
      <c r="A58" t="s">
        <v>255</v>
      </c>
      <c r="B58">
        <v>455</v>
      </c>
      <c r="C58" s="3">
        <v>7.2712420749279513E-2</v>
      </c>
      <c r="D58" s="54">
        <v>6.5295854119213917E-2</v>
      </c>
      <c r="E58" s="3">
        <v>0.14865827167185494</v>
      </c>
      <c r="F58" s="54">
        <v>0.12164722805997288</v>
      </c>
      <c r="G58" s="66">
        <v>0.84815990487292292</v>
      </c>
      <c r="H58" s="65">
        <v>1.1458047060134187</v>
      </c>
      <c r="I58" s="3">
        <v>0.1302352155398708</v>
      </c>
      <c r="J58" s="3">
        <v>0.38678554871410087</v>
      </c>
      <c r="K58" s="3">
        <v>6.9500000000000006E-2</v>
      </c>
      <c r="L58" s="3">
        <v>0.31780520070676432</v>
      </c>
      <c r="M58" s="3">
        <v>0.10548427143575564</v>
      </c>
      <c r="N58" s="65">
        <v>2.613156854484068</v>
      </c>
      <c r="O58" s="65">
        <v>0.61013809104337946</v>
      </c>
      <c r="P58" s="65">
        <v>6.7162676456444652</v>
      </c>
      <c r="Q58" s="65">
        <v>9.1737290125335438</v>
      </c>
      <c r="R58" s="65">
        <v>1.5357699086396315</v>
      </c>
      <c r="S58" s="65">
        <v>28.410647467275698</v>
      </c>
      <c r="T58" s="3">
        <v>6.9270716342897679E-2</v>
      </c>
      <c r="U58" s="54">
        <v>1.1806387985840473E-2</v>
      </c>
      <c r="V58" s="3">
        <v>1.7349901508777407E-2</v>
      </c>
      <c r="W58" s="54">
        <v>0.87249783797510927</v>
      </c>
      <c r="X58" s="3">
        <v>0.16953802063524387</v>
      </c>
      <c r="Y58" s="3">
        <v>0.2379445180748172</v>
      </c>
      <c r="Z58" s="54">
        <v>0.61460000000000004</v>
      </c>
    </row>
    <row r="59" spans="1:26">
      <c r="A59" t="s">
        <v>256</v>
      </c>
      <c r="B59">
        <v>414</v>
      </c>
      <c r="C59" s="3">
        <v>7.7229067524115708E-2</v>
      </c>
      <c r="D59" s="54">
        <v>8.8626701897402099E-2</v>
      </c>
      <c r="E59" s="3">
        <v>0.11313229318848557</v>
      </c>
      <c r="F59" s="54">
        <v>0.16483359072914733</v>
      </c>
      <c r="G59" s="66">
        <v>0.61063012553242024</v>
      </c>
      <c r="H59" s="65">
        <v>0.83576683531576557</v>
      </c>
      <c r="I59" s="3">
        <v>0.10549419345819809</v>
      </c>
      <c r="J59" s="3">
        <v>0.29449832942613408</v>
      </c>
      <c r="K59" s="3">
        <v>6.9500000000000006E-2</v>
      </c>
      <c r="L59" s="3">
        <v>0.32860706063842687</v>
      </c>
      <c r="M59" s="3">
        <v>8.8032065696613482E-2</v>
      </c>
      <c r="N59" s="65">
        <v>1.5638858386300616</v>
      </c>
      <c r="O59" s="65">
        <v>1.2245297647229045</v>
      </c>
      <c r="P59" s="65">
        <v>8.8060241920088291</v>
      </c>
      <c r="Q59" s="65">
        <v>14.003272248254996</v>
      </c>
      <c r="R59" s="65">
        <v>1.940650938180684</v>
      </c>
      <c r="S59" s="65">
        <v>125.25944123508474</v>
      </c>
      <c r="T59" s="3">
        <v>0.13395356814912099</v>
      </c>
      <c r="U59" s="54">
        <v>4.1475264956616818E-2</v>
      </c>
      <c r="V59" s="3">
        <v>4.4226653802734196E-2</v>
      </c>
      <c r="W59" s="54">
        <v>0.99286044008723728</v>
      </c>
      <c r="X59" s="3">
        <v>0.12941444561462065</v>
      </c>
      <c r="Y59" s="3">
        <v>0.39149024112254632</v>
      </c>
      <c r="Z59" s="54">
        <v>0.82640000000000002</v>
      </c>
    </row>
    <row r="60" spans="1:26">
      <c r="A60" t="s">
        <v>257</v>
      </c>
      <c r="B60">
        <v>268</v>
      </c>
      <c r="C60" s="3">
        <v>9.0147203791469191E-2</v>
      </c>
      <c r="D60" s="54">
        <v>0.13673422645306713</v>
      </c>
      <c r="E60" s="3">
        <v>0.10812075767476295</v>
      </c>
      <c r="F60" s="54">
        <v>0.15821279261855972</v>
      </c>
      <c r="G60" s="66">
        <v>0.67917197027163956</v>
      </c>
      <c r="H60" s="65">
        <v>0.9932645149292465</v>
      </c>
      <c r="I60" s="3">
        <v>0.11806250829135387</v>
      </c>
      <c r="J60" s="3">
        <v>0.3119027435891214</v>
      </c>
      <c r="K60" s="3">
        <v>6.9500000000000006E-2</v>
      </c>
      <c r="L60" s="3">
        <v>0.38038958402186268</v>
      </c>
      <c r="M60" s="3">
        <v>9.3067809292063056E-2</v>
      </c>
      <c r="N60" s="65">
        <v>0.95057512290737167</v>
      </c>
      <c r="O60" s="65">
        <v>1.1570645686768584</v>
      </c>
      <c r="P60" s="65">
        <v>6.0428359160203389</v>
      </c>
      <c r="Q60" s="65">
        <v>8.3351860224089958</v>
      </c>
      <c r="R60" s="65">
        <v>1.0735483341618237</v>
      </c>
      <c r="S60" s="65">
        <v>22.787221865495614</v>
      </c>
      <c r="T60" s="3">
        <v>0.1982744747226807</v>
      </c>
      <c r="U60" s="54">
        <v>3.6077619245513594E-2</v>
      </c>
      <c r="V60" s="3">
        <v>5.5442508522972618E-2</v>
      </c>
      <c r="W60" s="54">
        <v>0.76547067575041072</v>
      </c>
      <c r="X60" s="3">
        <v>0.15075339671662341</v>
      </c>
      <c r="Y60" s="3">
        <v>0.227065803635393</v>
      </c>
      <c r="Z60" s="54">
        <v>0.6855</v>
      </c>
    </row>
    <row r="61" spans="1:26">
      <c r="A61" t="s">
        <v>258</v>
      </c>
      <c r="B61">
        <v>485</v>
      </c>
      <c r="C61" s="3">
        <v>0.13698196428571432</v>
      </c>
      <c r="D61" s="54">
        <v>9.6646221342433919E-3</v>
      </c>
      <c r="E61" s="3">
        <v>5.6379509581119501E-3</v>
      </c>
      <c r="F61" s="54">
        <v>0.14669930155116612</v>
      </c>
      <c r="G61" s="66">
        <v>0.42250203876517067</v>
      </c>
      <c r="H61" s="65">
        <v>0.72851850030208987</v>
      </c>
      <c r="I61" s="3">
        <v>9.693577632410677E-2</v>
      </c>
      <c r="J61" s="3">
        <v>0.25944771221610685</v>
      </c>
      <c r="K61" s="3">
        <v>6.9500000000000006E-2</v>
      </c>
      <c r="L61" s="3">
        <v>0.49018534791706631</v>
      </c>
      <c r="M61" s="3">
        <v>7.5082614350785434E-2</v>
      </c>
      <c r="N61" s="65">
        <v>0.72896487550187217</v>
      </c>
      <c r="O61" s="65">
        <v>1.7852315254855147</v>
      </c>
      <c r="P61" s="65">
        <v>11.802718510592392</v>
      </c>
      <c r="Q61" s="65">
        <v>185.00972997805684</v>
      </c>
      <c r="R61" s="65">
        <v>1.4577656930951783</v>
      </c>
      <c r="S61" s="65">
        <v>35.263872090999307</v>
      </c>
      <c r="T61" s="3">
        <v>-6.4300492957312716E-2</v>
      </c>
      <c r="U61" s="54">
        <v>8.65556336773117E-2</v>
      </c>
      <c r="V61" s="3">
        <v>6.8802991514656131E-2</v>
      </c>
      <c r="W61" s="54" t="s">
        <v>584</v>
      </c>
      <c r="X61" s="3">
        <v>2.5145559391345728E-2</v>
      </c>
      <c r="Y61" s="3">
        <v>2.3563791476947751</v>
      </c>
      <c r="Z61" s="54">
        <v>1.0347999999999999</v>
      </c>
    </row>
    <row r="62" spans="1:26">
      <c r="A62" t="s">
        <v>259</v>
      </c>
      <c r="B62">
        <v>930</v>
      </c>
      <c r="C62" s="3">
        <v>0.22946125628140696</v>
      </c>
      <c r="D62" s="54">
        <v>0.17010151833091602</v>
      </c>
      <c r="E62" s="3">
        <v>0.1313128227330175</v>
      </c>
      <c r="F62" s="54">
        <v>4.1166339974379774E-2</v>
      </c>
      <c r="G62" s="66">
        <v>1.0029640155388828</v>
      </c>
      <c r="H62" s="65">
        <v>1.1408458156282186</v>
      </c>
      <c r="I62" s="3">
        <v>0.12983949608713186</v>
      </c>
      <c r="J62" s="3">
        <v>0.62912563546076816</v>
      </c>
      <c r="K62" s="3">
        <v>7.3300000000000004E-2</v>
      </c>
      <c r="L62" s="3">
        <v>0.15433126027989771</v>
      </c>
      <c r="M62" s="3">
        <v>0.11832289524433443</v>
      </c>
      <c r="N62" s="65">
        <v>0.82760527587667976</v>
      </c>
      <c r="O62" s="65">
        <v>2.2398890646875773</v>
      </c>
      <c r="P62" s="65">
        <v>6.9681846412865802</v>
      </c>
      <c r="Q62" s="65">
        <v>12.579527614682526</v>
      </c>
      <c r="R62" s="65">
        <v>1.5934497426010152</v>
      </c>
      <c r="S62" s="65">
        <v>627.22580291642339</v>
      </c>
      <c r="T62" s="3">
        <v>0.11475012262399167</v>
      </c>
      <c r="U62" s="54">
        <v>0.1009003571940405</v>
      </c>
      <c r="V62" s="3">
        <v>0.11013130656603419</v>
      </c>
      <c r="W62" s="54">
        <v>1.0172987135360556</v>
      </c>
      <c r="X62" s="3">
        <v>7.8535027733689977E-2</v>
      </c>
      <c r="Y62" s="3">
        <v>0.73625171843106163</v>
      </c>
      <c r="Z62" s="54">
        <v>1.7323999999999999</v>
      </c>
    </row>
    <row r="63" spans="1:26">
      <c r="A63" t="s">
        <v>260</v>
      </c>
      <c r="B63">
        <v>327</v>
      </c>
      <c r="C63" s="3">
        <v>1.6786992481203009E-2</v>
      </c>
      <c r="D63" s="54">
        <v>7.1530453336509092E-2</v>
      </c>
      <c r="E63" s="3">
        <v>6.9816045888240669E-2</v>
      </c>
      <c r="F63" s="54">
        <v>0.13899082244310329</v>
      </c>
      <c r="G63" s="66">
        <v>0.72587558605262703</v>
      </c>
      <c r="H63" s="65">
        <v>0.88913332691145819</v>
      </c>
      <c r="I63" s="3">
        <v>0.10975283948753436</v>
      </c>
      <c r="J63" s="3">
        <v>0.31440209547156556</v>
      </c>
      <c r="K63" s="3">
        <v>6.9500000000000006E-2</v>
      </c>
      <c r="L63" s="3">
        <v>0.22992110847420524</v>
      </c>
      <c r="M63" s="3">
        <v>9.6555715159815453E-2</v>
      </c>
      <c r="N63" s="65">
        <v>1.2217649449167178</v>
      </c>
      <c r="O63" s="65">
        <v>1.1602232971528561</v>
      </c>
      <c r="P63" s="65">
        <v>9.6468280876694159</v>
      </c>
      <c r="Q63" s="65">
        <v>16.151701374998392</v>
      </c>
      <c r="R63" s="65">
        <v>1.3219210745300178</v>
      </c>
      <c r="S63" s="65">
        <v>33.167267570476426</v>
      </c>
      <c r="T63" s="3">
        <v>0.11020902121217334</v>
      </c>
      <c r="U63" s="54">
        <v>2.9516992667007955E-2</v>
      </c>
      <c r="V63" s="3">
        <v>2.5056726303420367E-2</v>
      </c>
      <c r="W63" s="54">
        <v>0.61457801131291045</v>
      </c>
      <c r="X63" s="3">
        <v>2.9633954369228457E-2</v>
      </c>
      <c r="Y63" s="3">
        <v>0.89648700518886948</v>
      </c>
      <c r="Z63" s="54">
        <v>1.0109999999999999</v>
      </c>
    </row>
    <row r="64" spans="1:26">
      <c r="A64" t="s">
        <v>261</v>
      </c>
      <c r="B64">
        <v>792</v>
      </c>
      <c r="C64" s="3">
        <v>9.401075971731436E-2</v>
      </c>
      <c r="D64" s="54">
        <v>0.35363596095165206</v>
      </c>
      <c r="E64" s="3">
        <v>3.5771025211289796E-2</v>
      </c>
      <c r="F64" s="54">
        <v>3.0282009159863846E-2</v>
      </c>
      <c r="G64" s="66">
        <v>0.49841283199115838</v>
      </c>
      <c r="H64" s="65">
        <v>0.79260643027832334</v>
      </c>
      <c r="I64" s="3">
        <v>0.1020499931362102</v>
      </c>
      <c r="J64" s="3">
        <v>0.188502700447128</v>
      </c>
      <c r="K64" s="3">
        <v>6.1800000000000001E-2</v>
      </c>
      <c r="L64" s="3">
        <v>0.4393257428399891</v>
      </c>
      <c r="M64" s="3">
        <v>7.7669148367457155E-2</v>
      </c>
      <c r="N64" s="65">
        <v>0.11475356271315791</v>
      </c>
      <c r="O64" s="65">
        <v>11.531042195662517</v>
      </c>
      <c r="P64" s="65">
        <v>20.236307238218217</v>
      </c>
      <c r="Q64" s="65">
        <v>31.551898219621943</v>
      </c>
      <c r="R64" s="65">
        <v>1.3917441013942691</v>
      </c>
      <c r="S64" s="65">
        <v>29.010844155919504</v>
      </c>
      <c r="T64" s="3">
        <v>0.88906144737506287</v>
      </c>
      <c r="U64" s="54">
        <v>0.10141562264381192</v>
      </c>
      <c r="V64" s="3">
        <v>2.5883461310246391E-2</v>
      </c>
      <c r="W64" s="54">
        <v>9.464086024167101E-2</v>
      </c>
      <c r="X64" s="3">
        <v>9.2519075438043677E-2</v>
      </c>
      <c r="Y64" s="3">
        <v>0.70088392829994195</v>
      </c>
      <c r="Z64" s="54">
        <v>0.30420000000000003</v>
      </c>
    </row>
    <row r="65" spans="1:26">
      <c r="A65" t="s">
        <v>262</v>
      </c>
      <c r="B65">
        <v>869</v>
      </c>
      <c r="C65" s="3">
        <v>7.3651298076923083E-2</v>
      </c>
      <c r="D65" s="54">
        <v>0.10611774036549479</v>
      </c>
      <c r="E65" s="3">
        <v>4.6488813199838747E-2</v>
      </c>
      <c r="F65" s="54">
        <v>0.15884413249481161</v>
      </c>
      <c r="G65" s="66">
        <v>0.40287099600903203</v>
      </c>
      <c r="H65" s="65">
        <v>1.0176524508975406</v>
      </c>
      <c r="I65" s="3">
        <v>0.12000866558162374</v>
      </c>
      <c r="J65" s="3">
        <v>0.32556181158049086</v>
      </c>
      <c r="K65" s="3">
        <v>6.9500000000000006E-2</v>
      </c>
      <c r="L65" s="3">
        <v>0.66950390839006624</v>
      </c>
      <c r="M65" s="3">
        <v>7.4713836880271695E-2</v>
      </c>
      <c r="N65" s="65">
        <v>0.52893270500810741</v>
      </c>
      <c r="O65" s="65">
        <v>1.5312131208338273</v>
      </c>
      <c r="P65" s="65">
        <v>10.217278961542926</v>
      </c>
      <c r="Q65" s="65">
        <v>12.510382289782783</v>
      </c>
      <c r="R65" s="65">
        <v>0.47581440970018868</v>
      </c>
      <c r="S65" s="65">
        <v>93.428636892287287</v>
      </c>
      <c r="T65" s="3">
        <v>1.8806993528177163</v>
      </c>
      <c r="U65" s="54">
        <v>2.4398704395905024E-2</v>
      </c>
      <c r="V65" s="3">
        <v>1.7039267244275656E-2</v>
      </c>
      <c r="W65" s="54">
        <v>0.16278381269454029</v>
      </c>
      <c r="X65" s="3">
        <v>4.5763966797147754E-2</v>
      </c>
      <c r="Y65" s="3">
        <v>1.0751257428507728</v>
      </c>
      <c r="Z65" s="54">
        <v>1.7353000000000001</v>
      </c>
    </row>
    <row r="66" spans="1:26">
      <c r="A66" t="s">
        <v>263</v>
      </c>
      <c r="B66">
        <v>342</v>
      </c>
      <c r="C66" s="3">
        <v>4.9859999999999995E-2</v>
      </c>
      <c r="D66" s="54">
        <v>0.14802713180002092</v>
      </c>
      <c r="E66" s="3">
        <v>3.0628603680595022E-2</v>
      </c>
      <c r="F66" s="54">
        <v>0.15588318121228914</v>
      </c>
      <c r="G66" s="66">
        <v>0.48168494876726858</v>
      </c>
      <c r="H66" s="65">
        <v>0.93422776635121907</v>
      </c>
      <c r="I66" s="3">
        <v>0.11335137575482727</v>
      </c>
      <c r="J66" s="3">
        <v>0.26803347575607533</v>
      </c>
      <c r="K66" s="3">
        <v>6.9500000000000006E-2</v>
      </c>
      <c r="L66" s="3">
        <v>0.5549975323855354</v>
      </c>
      <c r="M66" s="3">
        <v>7.949817697804118E-2</v>
      </c>
      <c r="N66" s="65">
        <v>0.23569371461739638</v>
      </c>
      <c r="O66" s="65">
        <v>3.4160312457346205</v>
      </c>
      <c r="P66" s="65">
        <v>13.346468325691228</v>
      </c>
      <c r="Q66" s="65">
        <v>20.678663385063345</v>
      </c>
      <c r="R66" s="65">
        <v>0.64268461730126691</v>
      </c>
      <c r="S66" s="65">
        <v>44.690395758888215</v>
      </c>
      <c r="T66" s="3">
        <v>1.1832741086452718</v>
      </c>
      <c r="U66" s="54">
        <v>6.8333546742019136E-2</v>
      </c>
      <c r="V66" s="3">
        <v>7.1706126778043278E-2</v>
      </c>
      <c r="W66" s="54">
        <v>0.93134238136231007</v>
      </c>
      <c r="X66" s="3">
        <v>4.0329748272550953E-2</v>
      </c>
      <c r="Y66" s="3">
        <v>0.54498146633642408</v>
      </c>
      <c r="Z66" s="54">
        <v>0.81469999999999998</v>
      </c>
    </row>
    <row r="67" spans="1:26">
      <c r="A67" t="s">
        <v>264</v>
      </c>
      <c r="B67">
        <v>730</v>
      </c>
      <c r="C67" s="3">
        <v>9.9823312500000122E-2</v>
      </c>
      <c r="D67" s="54">
        <v>0.15340438688456975</v>
      </c>
      <c r="E67" s="3">
        <v>3.2149555025986189E-2</v>
      </c>
      <c r="F67" s="54">
        <v>0.14471759256555733</v>
      </c>
      <c r="G67" s="66">
        <v>0.51655062426459941</v>
      </c>
      <c r="H67" s="65">
        <v>0.90118806772324567</v>
      </c>
      <c r="I67" s="3">
        <v>0.110714807804315</v>
      </c>
      <c r="J67" s="3">
        <v>0.29972973723472146</v>
      </c>
      <c r="K67" s="3">
        <v>6.9500000000000006E-2</v>
      </c>
      <c r="L67" s="3">
        <v>0.49710493526141969</v>
      </c>
      <c r="M67" s="3">
        <v>8.1703536205674179E-2</v>
      </c>
      <c r="N67" s="65">
        <v>0.25341437544914164</v>
      </c>
      <c r="O67" s="65">
        <v>3.7203359838466712</v>
      </c>
      <c r="P67" s="65">
        <v>16.148892324279235</v>
      </c>
      <c r="Q67" s="65">
        <v>23.69469503174183</v>
      </c>
      <c r="R67" s="65">
        <v>0.8197490370417182</v>
      </c>
      <c r="S67" s="65">
        <v>23.760402106394217</v>
      </c>
      <c r="T67" s="3">
        <v>0.21232391694041827</v>
      </c>
      <c r="U67" s="54">
        <v>7.1596634293824346E-2</v>
      </c>
      <c r="V67" s="3">
        <v>7.7174872024271202E-2</v>
      </c>
      <c r="W67" s="54">
        <v>0.88999270872123326</v>
      </c>
      <c r="X67" s="3">
        <v>6.5265588445008613E-2</v>
      </c>
      <c r="Y67" s="3">
        <v>0.53211526909566764</v>
      </c>
      <c r="Z67" s="54">
        <v>1.7045999999999999</v>
      </c>
    </row>
    <row r="68" spans="1:26">
      <c r="A68" t="s">
        <v>265</v>
      </c>
      <c r="B68">
        <v>323</v>
      </c>
      <c r="C68" s="3">
        <v>5.1076739130434812E-2</v>
      </c>
      <c r="D68" s="54">
        <v>0.11144489023959785</v>
      </c>
      <c r="E68" s="3">
        <v>8.731459038120859E-2</v>
      </c>
      <c r="F68" s="54">
        <v>0.13938045627865497</v>
      </c>
      <c r="G68" s="66">
        <v>0.88939995144809991</v>
      </c>
      <c r="H68" s="65">
        <v>1.1091960963190381</v>
      </c>
      <c r="I68" s="3">
        <v>0.12731384848625923</v>
      </c>
      <c r="J68" s="3">
        <v>0.33179399049670577</v>
      </c>
      <c r="K68" s="3">
        <v>6.9500000000000006E-2</v>
      </c>
      <c r="L68" s="3">
        <v>0.24702270915957644</v>
      </c>
      <c r="M68" s="3">
        <v>0.10879715009294032</v>
      </c>
      <c r="N68" s="65">
        <v>1.0486354163424807</v>
      </c>
      <c r="O68" s="65">
        <v>2.0974276344108858</v>
      </c>
      <c r="P68" s="65">
        <v>12.274712507193845</v>
      </c>
      <c r="Q68" s="65">
        <v>20.530732767244604</v>
      </c>
      <c r="R68" s="65">
        <v>2.5725258921040592</v>
      </c>
      <c r="S68" s="65">
        <v>47.175784717711394</v>
      </c>
      <c r="T68" s="3">
        <v>0.31389391948549566</v>
      </c>
      <c r="U68" s="54">
        <v>3.2231860470796538E-3</v>
      </c>
      <c r="V68" s="3">
        <v>6.1053441623273752E-2</v>
      </c>
      <c r="W68" s="54">
        <v>1.3640377199332356</v>
      </c>
      <c r="X68" s="3">
        <v>7.5242702559188704E-2</v>
      </c>
      <c r="Y68" s="3">
        <v>0.56847876316386725</v>
      </c>
      <c r="Z68" s="54">
        <v>1.2273000000000001</v>
      </c>
    </row>
    <row r="69" spans="1:26">
      <c r="A69" t="s">
        <v>266</v>
      </c>
      <c r="B69">
        <v>34</v>
      </c>
      <c r="C69" s="3">
        <v>3.1153928571428572E-2</v>
      </c>
      <c r="D69" s="54">
        <v>1.7292422479858658E-2</v>
      </c>
      <c r="E69" s="3">
        <v>2.2689180850825514E-2</v>
      </c>
      <c r="F69" s="54">
        <v>9.8664456517952331E-2</v>
      </c>
      <c r="G69" s="66">
        <v>0.91701193139028836</v>
      </c>
      <c r="H69" s="65">
        <v>1.1599096579998216</v>
      </c>
      <c r="I69" s="3">
        <v>0.13136079070838574</v>
      </c>
      <c r="J69" s="3">
        <v>0.28323303408098666</v>
      </c>
      <c r="K69" s="3">
        <v>6.9500000000000006E-2</v>
      </c>
      <c r="L69" s="3">
        <v>0.2601501525257125</v>
      </c>
      <c r="M69" s="3">
        <v>0.11080725310758553</v>
      </c>
      <c r="N69" s="65">
        <v>1.5733691708079169</v>
      </c>
      <c r="O69" s="65">
        <v>0.69619790925658542</v>
      </c>
      <c r="P69" s="65">
        <v>17.766280415975285</v>
      </c>
      <c r="Q69" s="65">
        <v>37.829126562955587</v>
      </c>
      <c r="R69" s="65">
        <v>1.3931599445632008</v>
      </c>
      <c r="S69" s="65">
        <v>15.643852704032815</v>
      </c>
      <c r="T69" s="3">
        <v>-0.52624383723667811</v>
      </c>
      <c r="U69" s="54">
        <v>8.3789699118327569E-3</v>
      </c>
      <c r="V69" s="3">
        <v>1.6224944864916987E-2</v>
      </c>
      <c r="W69" s="54">
        <v>2.8942118934640808</v>
      </c>
      <c r="X69" s="3">
        <v>1.9833468303193061E-2</v>
      </c>
      <c r="Y69" s="3">
        <v>1.15165212446575</v>
      </c>
      <c r="Z69" s="54">
        <v>0.19420000000000001</v>
      </c>
    </row>
    <row r="70" spans="1:26">
      <c r="A70" t="s">
        <v>267</v>
      </c>
      <c r="B70">
        <v>382</v>
      </c>
      <c r="C70" s="3">
        <v>-2.8214814814814916E-3</v>
      </c>
      <c r="D70" s="54">
        <v>0.10934031039089333</v>
      </c>
      <c r="E70" s="3">
        <v>0.12983632228962561</v>
      </c>
      <c r="F70" s="54">
        <v>0.13058992474186906</v>
      </c>
      <c r="G70" s="66">
        <v>0.79883590794377146</v>
      </c>
      <c r="H70" s="65">
        <v>0.99532073680959354</v>
      </c>
      <c r="I70" s="3">
        <v>0.11822659479740556</v>
      </c>
      <c r="J70" s="3">
        <v>0.31360962157416999</v>
      </c>
      <c r="K70" s="3">
        <v>6.9500000000000006E-2</v>
      </c>
      <c r="L70" s="3">
        <v>0.24614511902439928</v>
      </c>
      <c r="M70" s="3">
        <v>0.10201246326134381</v>
      </c>
      <c r="N70" s="65">
        <v>1.6243248607297194</v>
      </c>
      <c r="O70" s="65">
        <v>2.8684616918327772</v>
      </c>
      <c r="P70" s="65">
        <v>16.545467724021872</v>
      </c>
      <c r="Q70" s="65">
        <v>30.621314288660123</v>
      </c>
      <c r="R70" s="65">
        <v>14.381817822236322</v>
      </c>
      <c r="S70" s="65">
        <v>55.544561710281627</v>
      </c>
      <c r="T70" s="3">
        <v>-7.7442229665044505E-3</v>
      </c>
      <c r="U70" s="54">
        <v>1.7103545883623797E-3</v>
      </c>
      <c r="V70" s="3">
        <v>2.4723541317790931E-2</v>
      </c>
      <c r="W70" s="54">
        <v>0.37280426770845015</v>
      </c>
      <c r="X70" s="3">
        <v>0.36850752125706215</v>
      </c>
      <c r="Y70" s="3">
        <v>0.6213721003208682</v>
      </c>
      <c r="Z70" s="54">
        <v>0.46400000000000002</v>
      </c>
    </row>
    <row r="71" spans="1:26">
      <c r="A71" t="s">
        <v>268</v>
      </c>
      <c r="B71">
        <v>193</v>
      </c>
      <c r="C71" s="3">
        <v>8.8188805970149248E-2</v>
      </c>
      <c r="D71" s="54">
        <v>5.2864793070736611E-2</v>
      </c>
      <c r="E71" s="3">
        <v>0.12384134362101419</v>
      </c>
      <c r="F71" s="54">
        <v>0.19296375205587804</v>
      </c>
      <c r="G71" s="66">
        <v>0.68261009949065221</v>
      </c>
      <c r="H71" s="65">
        <v>0.98313395219463651</v>
      </c>
      <c r="I71" s="3">
        <v>0.11725408938513199</v>
      </c>
      <c r="J71" s="3">
        <v>0.30421163829693049</v>
      </c>
      <c r="K71" s="3">
        <v>6.9500000000000006E-2</v>
      </c>
      <c r="L71" s="3">
        <v>0.36886129425022746</v>
      </c>
      <c r="M71" s="3">
        <v>9.3315087519029755E-2</v>
      </c>
      <c r="N71" s="65">
        <v>3.174007342761481</v>
      </c>
      <c r="O71" s="65">
        <v>0.71672834524414897</v>
      </c>
      <c r="P71" s="65">
        <v>9.6320449463007645</v>
      </c>
      <c r="Q71" s="65">
        <v>14.248870595972095</v>
      </c>
      <c r="R71" s="65">
        <v>3.1314193213403589</v>
      </c>
      <c r="S71" s="65">
        <v>24.10470482847775</v>
      </c>
      <c r="T71" s="3">
        <v>9.6236266427468103E-2</v>
      </c>
      <c r="U71" s="54">
        <v>2.1151850997237289E-2</v>
      </c>
      <c r="V71" s="3">
        <v>3.3179051086357797E-2</v>
      </c>
      <c r="W71" s="54">
        <v>1.269679651746447</v>
      </c>
      <c r="X71" s="3">
        <v>0.21267051934563361</v>
      </c>
      <c r="Y71" s="3">
        <v>0.25656588413790438</v>
      </c>
      <c r="Z71" s="54">
        <v>0.86360000000000003</v>
      </c>
    </row>
    <row r="72" spans="1:26">
      <c r="A72" t="s">
        <v>269</v>
      </c>
      <c r="B72">
        <v>98</v>
      </c>
      <c r="C72" s="3">
        <v>4.9730985915492958E-2</v>
      </c>
      <c r="D72" s="54">
        <v>0.12710027893428871</v>
      </c>
      <c r="E72" s="3">
        <v>0.29843243697346</v>
      </c>
      <c r="F72" s="54">
        <v>0.19898268358881241</v>
      </c>
      <c r="G72" s="66">
        <v>0.91367819677852846</v>
      </c>
      <c r="H72" s="65">
        <v>1.0792224241204762</v>
      </c>
      <c r="I72" s="3">
        <v>0.124921949444814</v>
      </c>
      <c r="J72" s="3">
        <v>0.27792365922032364</v>
      </c>
      <c r="K72" s="3">
        <v>6.9500000000000006E-2</v>
      </c>
      <c r="L72" s="3">
        <v>0.19388701670171191</v>
      </c>
      <c r="M72" s="3">
        <v>0.1108520340792542</v>
      </c>
      <c r="N72" s="65">
        <v>3.0101136822043171</v>
      </c>
      <c r="O72" s="65">
        <v>1.7330803063087947</v>
      </c>
      <c r="P72" s="65">
        <v>11.182812043204136</v>
      </c>
      <c r="Q72" s="65">
        <v>13.9844036785419</v>
      </c>
      <c r="R72" s="65">
        <v>16.942098977439436</v>
      </c>
      <c r="S72" s="65">
        <v>20.808375889952647</v>
      </c>
      <c r="T72" s="3">
        <v>0.10268186081306206</v>
      </c>
      <c r="U72" s="54">
        <v>2.4358239196111704E-2</v>
      </c>
      <c r="V72" s="3">
        <v>5.5379604041460315E-3</v>
      </c>
      <c r="W72" s="54">
        <v>0.4152885052448525</v>
      </c>
      <c r="X72" s="3">
        <v>0.62069170974216659</v>
      </c>
      <c r="Y72" s="3">
        <v>0.40523933459490058</v>
      </c>
      <c r="Z72" s="54">
        <v>0.1226</v>
      </c>
    </row>
    <row r="73" spans="1:26">
      <c r="A73" t="s">
        <v>270</v>
      </c>
      <c r="B73">
        <v>1006</v>
      </c>
      <c r="C73" s="3">
        <v>7.3500151933701671E-2</v>
      </c>
      <c r="D73" s="54">
        <v>5.5541892981851998E-2</v>
      </c>
      <c r="E73" s="3">
        <v>8.9652886701252557E-2</v>
      </c>
      <c r="F73" s="54">
        <v>0.17230496474040322</v>
      </c>
      <c r="G73" s="66">
        <v>0.54477684283804584</v>
      </c>
      <c r="H73" s="65">
        <v>0.82885193903775201</v>
      </c>
      <c r="I73" s="3">
        <v>0.10494238473521261</v>
      </c>
      <c r="J73" s="3">
        <v>0.3263950009608495</v>
      </c>
      <c r="K73" s="3">
        <v>6.9500000000000006E-2</v>
      </c>
      <c r="L73" s="3">
        <v>0.40906163103204718</v>
      </c>
      <c r="M73" s="3">
        <v>8.3430637473656588E-2</v>
      </c>
      <c r="N73" s="65">
        <v>1.961608220217619</v>
      </c>
      <c r="O73" s="65">
        <v>0.73383443433382778</v>
      </c>
      <c r="P73" s="65">
        <v>10.202912254657335</v>
      </c>
      <c r="Q73" s="65">
        <v>12.808650887242223</v>
      </c>
      <c r="R73" s="65">
        <v>1.5112950518177228</v>
      </c>
      <c r="S73" s="65">
        <v>51.298192963003395</v>
      </c>
      <c r="T73" s="3">
        <v>0.16339131497172923</v>
      </c>
      <c r="U73" s="54">
        <v>2.3832681878767144E-2</v>
      </c>
      <c r="V73" s="3">
        <v>3.5509615216160868E-2</v>
      </c>
      <c r="W73" s="54">
        <v>1.2620694542181561</v>
      </c>
      <c r="X73" s="3">
        <v>0.14904706797430581</v>
      </c>
      <c r="Y73" s="3">
        <v>0.30974771474443691</v>
      </c>
      <c r="Z73" s="54">
        <v>1.5952999999999999</v>
      </c>
    </row>
    <row r="74" spans="1:26">
      <c r="A74" t="s">
        <v>271</v>
      </c>
      <c r="B74">
        <v>189</v>
      </c>
      <c r="C74" s="3">
        <v>-2.8960848484848482E-2</v>
      </c>
      <c r="D74" s="54">
        <v>4.9115847288026683E-2</v>
      </c>
      <c r="E74" s="3">
        <v>0.11649691349253601</v>
      </c>
      <c r="F74" s="54">
        <v>0.18374946439476669</v>
      </c>
      <c r="G74" s="66">
        <v>0.69854986716865164</v>
      </c>
      <c r="H74" s="65">
        <v>0.89053705625931245</v>
      </c>
      <c r="I74" s="3">
        <v>0.10986485708949313</v>
      </c>
      <c r="J74" s="3">
        <v>0.27275967897216363</v>
      </c>
      <c r="K74" s="3">
        <v>6.9500000000000006E-2</v>
      </c>
      <c r="L74" s="3">
        <v>0.26731537858518772</v>
      </c>
      <c r="M74" s="3">
        <v>9.4491414114239156E-2</v>
      </c>
      <c r="N74" s="65">
        <v>3.0944631955801012</v>
      </c>
      <c r="O74" s="65">
        <v>0.86456494951190732</v>
      </c>
      <c r="P74" s="65">
        <v>11.278125345956994</v>
      </c>
      <c r="Q74" s="65">
        <v>18.60676665621412</v>
      </c>
      <c r="R74" s="65">
        <v>3.3512422579158496</v>
      </c>
      <c r="S74" s="65">
        <v>36.680357857768897</v>
      </c>
      <c r="T74" s="3">
        <v>5.1208978463735495E-3</v>
      </c>
      <c r="U74" s="54">
        <v>3.8148259971067088E-3</v>
      </c>
      <c r="V74" s="3">
        <v>1.2404123717395098E-2</v>
      </c>
      <c r="W74" s="54">
        <v>0.79241997634249972</v>
      </c>
      <c r="X74" s="3">
        <v>0.12667539417897708</v>
      </c>
      <c r="Y74" s="3">
        <v>0.46569953644887679</v>
      </c>
      <c r="Z74" s="54">
        <v>0.56069999999999998</v>
      </c>
    </row>
    <row r="75" spans="1:26">
      <c r="A75" t="s">
        <v>272</v>
      </c>
      <c r="B75">
        <v>181</v>
      </c>
      <c r="C75" s="3">
        <v>4.6530136054421807E-2</v>
      </c>
      <c r="D75" s="54">
        <v>4.6247454144019685E-2</v>
      </c>
      <c r="E75" s="3">
        <v>0.109306157945409</v>
      </c>
      <c r="F75" s="54">
        <v>0.21192562707948623</v>
      </c>
      <c r="G75" s="66">
        <v>0.49116387420911095</v>
      </c>
      <c r="H75" s="65">
        <v>0.70540273569157119</v>
      </c>
      <c r="I75" s="3">
        <v>9.5091138308187384E-2</v>
      </c>
      <c r="J75" s="3">
        <v>0.2395250060619005</v>
      </c>
      <c r="K75" s="3">
        <v>6.1800000000000001E-2</v>
      </c>
      <c r="L75" s="3">
        <v>0.36670130796647049</v>
      </c>
      <c r="M75" s="3">
        <v>7.7292484203547118E-2</v>
      </c>
      <c r="N75" s="65">
        <v>3.1264014495235903</v>
      </c>
      <c r="O75" s="65">
        <v>0.64814723325310775</v>
      </c>
      <c r="P75" s="65">
        <v>9.0398278110872159</v>
      </c>
      <c r="Q75" s="65">
        <v>14.284968868266562</v>
      </c>
      <c r="R75" s="65">
        <v>2.3047587413431696</v>
      </c>
      <c r="S75" s="65">
        <v>35.317018895544528</v>
      </c>
      <c r="T75" s="3">
        <v>-2.9975171328978954E-2</v>
      </c>
      <c r="U75" s="54">
        <v>2.5860874767432901E-2</v>
      </c>
      <c r="V75" s="3">
        <v>7.8426614836429581E-3</v>
      </c>
      <c r="W75" s="54">
        <v>0.26020992647242941</v>
      </c>
      <c r="X75" s="3">
        <v>0.14692867887469693</v>
      </c>
      <c r="Y75" s="3">
        <v>0.33680698768837153</v>
      </c>
      <c r="Z75" s="54">
        <v>0.4995</v>
      </c>
    </row>
    <row r="76" spans="1:26">
      <c r="A76" t="s">
        <v>273</v>
      </c>
      <c r="B76">
        <v>342</v>
      </c>
      <c r="C76" s="3">
        <v>0.16550980645161301</v>
      </c>
      <c r="D76" s="54">
        <v>3.2342750675274326E-2</v>
      </c>
      <c r="E76" s="3">
        <v>1.9274102795920161E-2</v>
      </c>
      <c r="F76" s="54">
        <v>9.9670772714467143E-2</v>
      </c>
      <c r="G76" s="66">
        <v>1.3787096682502977</v>
      </c>
      <c r="H76" s="65">
        <v>1.5920102722913301</v>
      </c>
      <c r="I76" s="3">
        <v>0.16584241972884814</v>
      </c>
      <c r="J76" s="3">
        <v>0.46350736287125799</v>
      </c>
      <c r="K76" s="3">
        <v>6.9500000000000006E-2</v>
      </c>
      <c r="L76" s="3">
        <v>0.17038387188172086</v>
      </c>
      <c r="M76" s="3">
        <v>0.14650588299606426</v>
      </c>
      <c r="N76" s="65">
        <v>1.3082127267773387</v>
      </c>
      <c r="O76" s="65">
        <v>2.0433500802590556</v>
      </c>
      <c r="P76" s="65">
        <v>16.998339824456181</v>
      </c>
      <c r="Q76" s="65" t="s">
        <v>584</v>
      </c>
      <c r="R76" s="65">
        <v>4.2425838010175134</v>
      </c>
      <c r="S76" s="65">
        <v>90.302588284217236</v>
      </c>
      <c r="T76" s="3">
        <v>-2.2871400697795554E-2</v>
      </c>
      <c r="U76" s="54">
        <v>7.9897119747193407E-2</v>
      </c>
      <c r="V76" s="3">
        <v>6.433562988524151E-2</v>
      </c>
      <c r="W76" s="54" t="s">
        <v>584</v>
      </c>
      <c r="X76" s="3">
        <v>-1.2913862822285392E-3</v>
      </c>
      <c r="Y76" s="3">
        <v>3.8494175802843227E-3</v>
      </c>
      <c r="Z76" s="54">
        <v>0.63109999999999999</v>
      </c>
    </row>
    <row r="77" spans="1:26">
      <c r="A77" t="s">
        <v>274</v>
      </c>
      <c r="B77">
        <v>495</v>
      </c>
      <c r="C77" s="3">
        <v>2.7746815642458116E-2</v>
      </c>
      <c r="D77" s="54">
        <v>6.0451087964196508E-2</v>
      </c>
      <c r="E77" s="3">
        <v>0.12108557504627562</v>
      </c>
      <c r="F77" s="54">
        <v>0.17570428714304442</v>
      </c>
      <c r="G77" s="66">
        <v>0.88305842478957142</v>
      </c>
      <c r="H77" s="65">
        <v>1.0901256163386903</v>
      </c>
      <c r="I77" s="3">
        <v>0.12579202418382748</v>
      </c>
      <c r="J77" s="3">
        <v>0.31791100266989658</v>
      </c>
      <c r="K77" s="3">
        <v>6.9500000000000006E-2</v>
      </c>
      <c r="L77" s="3">
        <v>0.23738748343322327</v>
      </c>
      <c r="M77" s="3">
        <v>0.10835883952013969</v>
      </c>
      <c r="N77" s="65">
        <v>2.5174585784193328</v>
      </c>
      <c r="O77" s="65">
        <v>1.1055168146420087</v>
      </c>
      <c r="P77" s="65">
        <v>10.562927567967403</v>
      </c>
      <c r="Q77" s="65">
        <v>18.29261382753738</v>
      </c>
      <c r="R77" s="65">
        <v>3.3664874019124715</v>
      </c>
      <c r="S77" s="65">
        <v>29.906383975982227</v>
      </c>
      <c r="T77" s="3">
        <v>8.3668947606292884E-2</v>
      </c>
      <c r="U77" s="54">
        <v>5.4898945547292711E-4</v>
      </c>
      <c r="V77" s="3">
        <v>6.8208137188517049E-3</v>
      </c>
      <c r="W77" s="54">
        <v>0.6221607841938781</v>
      </c>
      <c r="X77" s="3">
        <v>0.12040782319843941</v>
      </c>
      <c r="Y77" s="3">
        <v>0.525527360937459</v>
      </c>
      <c r="Z77" s="54">
        <v>0.42280000000000001</v>
      </c>
    </row>
    <row r="78" spans="1:26">
      <c r="A78" t="s">
        <v>275</v>
      </c>
      <c r="B78">
        <v>89</v>
      </c>
      <c r="C78" s="3">
        <v>5.632847222222228E-2</v>
      </c>
      <c r="D78" s="54">
        <v>7.5642278372184693E-2</v>
      </c>
      <c r="E78" s="3">
        <v>6.7278924218009309E-2</v>
      </c>
      <c r="F78" s="54">
        <v>0.15963585933687269</v>
      </c>
      <c r="G78" s="66">
        <v>0.83679363246266925</v>
      </c>
      <c r="H78" s="65">
        <v>1.1594988998620432</v>
      </c>
      <c r="I78" s="3">
        <v>0.13132801220899104</v>
      </c>
      <c r="J78" s="3">
        <v>0.27734767794889681</v>
      </c>
      <c r="K78" s="3">
        <v>6.9500000000000006E-2</v>
      </c>
      <c r="L78" s="3">
        <v>0.3385984307682709</v>
      </c>
      <c r="M78" s="3">
        <v>0.10458765411300318</v>
      </c>
      <c r="N78" s="65">
        <v>1.0936166560589926</v>
      </c>
      <c r="O78" s="65">
        <v>0.97477368100522854</v>
      </c>
      <c r="P78" s="65">
        <v>7.1119579931066124</v>
      </c>
      <c r="Q78" s="65">
        <v>12.765153148732912</v>
      </c>
      <c r="R78" s="65">
        <v>1.1120791343085825</v>
      </c>
      <c r="S78" s="65">
        <v>60.490352513412041</v>
      </c>
      <c r="T78" s="3">
        <v>0.24507414707859465</v>
      </c>
      <c r="U78" s="54">
        <v>2.9239237779639861E-2</v>
      </c>
      <c r="V78" s="3">
        <v>2.2036302112200399E-2</v>
      </c>
      <c r="W78" s="54">
        <v>1.2578311950085885</v>
      </c>
      <c r="X78" s="3">
        <v>6.9080050211145549E-2</v>
      </c>
      <c r="Y78" s="3">
        <v>0.45219331797462237</v>
      </c>
      <c r="Z78" s="54">
        <v>0.58069999999999999</v>
      </c>
    </row>
    <row r="79" spans="1:26">
      <c r="A79" t="s">
        <v>276</v>
      </c>
      <c r="B79">
        <v>624</v>
      </c>
      <c r="C79" s="3">
        <v>8.8133280898876495E-2</v>
      </c>
      <c r="D79" s="54">
        <v>0.25069031204778092</v>
      </c>
      <c r="E79" s="3">
        <v>0.18215285247984078</v>
      </c>
      <c r="F79" s="54">
        <v>0.10353163544478648</v>
      </c>
      <c r="G79" s="66">
        <v>1.555473419408919</v>
      </c>
      <c r="H79" s="65">
        <v>1.6915425349552258</v>
      </c>
      <c r="I79" s="3">
        <v>0.17378509428942701</v>
      </c>
      <c r="J79" s="3">
        <v>0.37344951833670342</v>
      </c>
      <c r="K79" s="3">
        <v>6.9500000000000006E-2</v>
      </c>
      <c r="L79" s="3">
        <v>0.10404370853456175</v>
      </c>
      <c r="M79" s="3">
        <v>0.16115098932344296</v>
      </c>
      <c r="N79" s="65">
        <v>0.83496770904191153</v>
      </c>
      <c r="O79" s="65">
        <v>3.7548796165230502</v>
      </c>
      <c r="P79" s="65">
        <v>10.50343169900737</v>
      </c>
      <c r="Q79" s="65">
        <v>15.996951092288359</v>
      </c>
      <c r="R79" s="65">
        <v>3.261468298173543</v>
      </c>
      <c r="S79" s="65">
        <v>74.133120315946627</v>
      </c>
      <c r="T79" s="3">
        <v>0.16627221479469054</v>
      </c>
      <c r="U79" s="54">
        <v>9.4756741586764795E-2</v>
      </c>
      <c r="V79" s="3">
        <v>0.12206170568941127</v>
      </c>
      <c r="W79" s="54">
        <v>0.87615023789822055</v>
      </c>
      <c r="X79" s="3">
        <v>0.22004463854331047</v>
      </c>
      <c r="Y79" s="3">
        <v>0.32598202249818786</v>
      </c>
      <c r="Z79" s="54">
        <v>0.83679999999999999</v>
      </c>
    </row>
    <row r="80" spans="1:26">
      <c r="A80" t="s">
        <v>277</v>
      </c>
      <c r="B80">
        <v>342</v>
      </c>
      <c r="C80" s="3">
        <v>0.10496736842105271</v>
      </c>
      <c r="D80" s="54">
        <v>0.25250616487214023</v>
      </c>
      <c r="E80" s="3">
        <v>0.26386467981679268</v>
      </c>
      <c r="F80" s="54">
        <v>0.14388614403019523</v>
      </c>
      <c r="G80" s="66">
        <v>1.8630187389305666</v>
      </c>
      <c r="H80" s="65">
        <v>1.9625184452168636</v>
      </c>
      <c r="I80" s="3">
        <v>0.1954089719283057</v>
      </c>
      <c r="J80" s="3">
        <v>0.33267871506038227</v>
      </c>
      <c r="K80" s="3">
        <v>6.9500000000000006E-2</v>
      </c>
      <c r="L80" s="3">
        <v>6.6204624535447815E-2</v>
      </c>
      <c r="M80" s="3">
        <v>0.18593809439548178</v>
      </c>
      <c r="N80" s="65">
        <v>1.2343126023017275</v>
      </c>
      <c r="O80" s="65">
        <v>4.1441869993736047</v>
      </c>
      <c r="P80" s="65">
        <v>14.386690785614098</v>
      </c>
      <c r="Q80" s="65">
        <v>16.622260371440802</v>
      </c>
      <c r="R80" s="65">
        <v>5.367884030333931</v>
      </c>
      <c r="S80" s="65">
        <v>28.744369420890074</v>
      </c>
      <c r="T80" s="3">
        <v>0.29309898081044888</v>
      </c>
      <c r="U80" s="54">
        <v>5.0545201595371E-2</v>
      </c>
      <c r="V80" s="3">
        <v>0.11219404476537231</v>
      </c>
      <c r="W80" s="54">
        <v>0.89577065377444465</v>
      </c>
      <c r="X80" s="3">
        <v>0.30321818101232301</v>
      </c>
      <c r="Y80" s="3">
        <v>0.24045618885891673</v>
      </c>
      <c r="Z80" s="54">
        <v>0.69779999999999998</v>
      </c>
    </row>
    <row r="81" spans="1:26">
      <c r="A81" t="s">
        <v>278</v>
      </c>
      <c r="B81">
        <v>349</v>
      </c>
      <c r="C81" s="3">
        <v>0.1134618587360595</v>
      </c>
      <c r="D81" s="54">
        <v>0.33240000935131214</v>
      </c>
      <c r="E81" s="3">
        <v>0.32699317521985316</v>
      </c>
      <c r="F81" s="54">
        <v>0.12278349800007093</v>
      </c>
      <c r="G81" s="66">
        <v>0.79536694955438325</v>
      </c>
      <c r="H81" s="65">
        <v>1.095060022552661</v>
      </c>
      <c r="I81" s="3">
        <v>0.12618578979970235</v>
      </c>
      <c r="J81" s="3">
        <v>0.33913461678437984</v>
      </c>
      <c r="K81" s="3">
        <v>6.9500000000000006E-2</v>
      </c>
      <c r="L81" s="3">
        <v>0.3334209359136372</v>
      </c>
      <c r="M81" s="3">
        <v>0.10156884204183424</v>
      </c>
      <c r="N81" s="65">
        <v>1.1192465562494063</v>
      </c>
      <c r="O81" s="65">
        <v>1.0044824108835042</v>
      </c>
      <c r="P81" s="65">
        <v>2.5752079359512443</v>
      </c>
      <c r="Q81" s="65">
        <v>2.9370669871985133</v>
      </c>
      <c r="R81" s="65">
        <v>0.90298360986176784</v>
      </c>
      <c r="S81" s="65">
        <v>17.544139036158338</v>
      </c>
      <c r="T81" s="3">
        <v>3.2629919851120501E-2</v>
      </c>
      <c r="U81" s="54">
        <v>3.9902396104123709E-2</v>
      </c>
      <c r="V81" s="3">
        <v>3.711561558510823E-2</v>
      </c>
      <c r="W81" s="54">
        <v>0.10442336279857994</v>
      </c>
      <c r="X81" s="3">
        <v>0.52203977353633646</v>
      </c>
      <c r="Y81" s="3">
        <v>0.31311541565817647</v>
      </c>
      <c r="Z81" s="54">
        <v>1.8086</v>
      </c>
    </row>
    <row r="82" spans="1:26">
      <c r="A82" t="s">
        <v>279</v>
      </c>
      <c r="B82">
        <v>85</v>
      </c>
      <c r="C82" s="3">
        <v>2.7776190476190526E-3</v>
      </c>
      <c r="D82" s="54">
        <v>0.10832202889810628</v>
      </c>
      <c r="E82" s="3">
        <v>0.17156391646728414</v>
      </c>
      <c r="F82" s="54">
        <v>0.1435946250096356</v>
      </c>
      <c r="G82" s="66">
        <v>0.93338039373857817</v>
      </c>
      <c r="H82" s="65">
        <v>1.0205314602380813</v>
      </c>
      <c r="I82" s="3">
        <v>0.12023841052699888</v>
      </c>
      <c r="J82" s="3">
        <v>0.35254293112020701</v>
      </c>
      <c r="K82" s="3">
        <v>6.9500000000000006E-2</v>
      </c>
      <c r="L82" s="3">
        <v>0.11028060105470616</v>
      </c>
      <c r="M82" s="3">
        <v>0.11275211553004739</v>
      </c>
      <c r="N82" s="65">
        <v>2.0177263229114235</v>
      </c>
      <c r="O82" s="65">
        <v>2.4223029557587625</v>
      </c>
      <c r="P82" s="65">
        <v>17.712472761700401</v>
      </c>
      <c r="Q82" s="65">
        <v>23.47411167886975</v>
      </c>
      <c r="R82" s="65">
        <v>5.25688738442242</v>
      </c>
      <c r="S82" s="65">
        <v>44.479428183203773</v>
      </c>
      <c r="T82" s="3">
        <v>0.23433778345356734</v>
      </c>
      <c r="U82" s="54">
        <v>-1.4156320428161111E-3</v>
      </c>
      <c r="V82" s="3">
        <v>1.3903215448473651E-2</v>
      </c>
      <c r="W82" s="54">
        <v>0.55734544636254946</v>
      </c>
      <c r="X82" s="3">
        <v>0.21068525458903517</v>
      </c>
      <c r="Y82" s="3">
        <v>0.30772156513652943</v>
      </c>
      <c r="Z82" s="54">
        <v>2.3699999999999999E-2</v>
      </c>
    </row>
    <row r="83" spans="1:26">
      <c r="A83" t="s">
        <v>280</v>
      </c>
      <c r="B83">
        <v>320</v>
      </c>
      <c r="C83" s="3">
        <v>0.14282</v>
      </c>
      <c r="D83" s="54">
        <v>0.29951906905016107</v>
      </c>
      <c r="E83" s="3">
        <v>0.15976086690423852</v>
      </c>
      <c r="F83" s="54">
        <v>9.4574592452587578E-2</v>
      </c>
      <c r="G83" s="66">
        <v>1.4037641124385991</v>
      </c>
      <c r="H83" s="65">
        <v>1.4800451918455317</v>
      </c>
      <c r="I83" s="3">
        <v>0.15690760630927342</v>
      </c>
      <c r="J83" s="3">
        <v>0.47746935346140246</v>
      </c>
      <c r="K83" s="3">
        <v>6.9500000000000006E-2</v>
      </c>
      <c r="L83" s="3">
        <v>6.7282894806011295E-2</v>
      </c>
      <c r="M83" s="3">
        <v>0.14987296056339064</v>
      </c>
      <c r="N83" s="65">
        <v>0.68847708198285007</v>
      </c>
      <c r="O83" s="65">
        <v>3.8511078295195338</v>
      </c>
      <c r="P83" s="65">
        <v>12.118199448898602</v>
      </c>
      <c r="Q83" s="65">
        <v>16.402238187938835</v>
      </c>
      <c r="R83" s="65">
        <v>3.5083472685377823</v>
      </c>
      <c r="S83" s="65">
        <v>127.3905077202935</v>
      </c>
      <c r="T83" s="3">
        <v>3.1636797197512549E-2</v>
      </c>
      <c r="U83" s="54">
        <v>7.6924430416947298E-2</v>
      </c>
      <c r="V83" s="3">
        <v>0.12181383405728993</v>
      </c>
      <c r="W83" s="54">
        <v>0.6400453768028459</v>
      </c>
      <c r="X83" s="3">
        <v>0.18663687839130547</v>
      </c>
      <c r="Y83" s="3">
        <v>2.7321544447000384E-2</v>
      </c>
      <c r="Z83" s="54">
        <v>0.54210000000000003</v>
      </c>
    </row>
    <row r="84" spans="1:26">
      <c r="A84" t="s">
        <v>281</v>
      </c>
      <c r="B84">
        <v>152</v>
      </c>
      <c r="C84" s="3">
        <v>0.27269325301204816</v>
      </c>
      <c r="D84" s="54">
        <v>6.5902270484807624E-2</v>
      </c>
      <c r="E84" s="3">
        <v>5.5120342075433504E-3</v>
      </c>
      <c r="F84" s="54">
        <v>9.0323770551531152E-2</v>
      </c>
      <c r="G84" s="66">
        <v>1.1988436794225128</v>
      </c>
      <c r="H84" s="65">
        <v>1.3494055466433648</v>
      </c>
      <c r="I84" s="3">
        <v>0.14648256262214049</v>
      </c>
      <c r="J84" s="3">
        <v>0.43243045103017308</v>
      </c>
      <c r="K84" s="3">
        <v>6.9500000000000006E-2</v>
      </c>
      <c r="L84" s="3">
        <v>0.14289541246400556</v>
      </c>
      <c r="M84" s="3">
        <v>0.1330320728550001</v>
      </c>
      <c r="N84" s="65">
        <v>0.87012726304513266</v>
      </c>
      <c r="O84" s="65">
        <v>4.1806294495066085</v>
      </c>
      <c r="P84" s="65">
        <v>15.881419590093561</v>
      </c>
      <c r="Q84" s="65" t="s">
        <v>584</v>
      </c>
      <c r="R84" s="65">
        <v>4.6083218345324841</v>
      </c>
      <c r="S84" s="65">
        <v>69.669400451103826</v>
      </c>
      <c r="T84" s="3">
        <v>5.014284936774209E-2</v>
      </c>
      <c r="U84" s="54">
        <v>9.6402675767557552E-2</v>
      </c>
      <c r="V84" s="3">
        <v>0.10911160059070062</v>
      </c>
      <c r="W84" s="54" t="s">
        <v>584</v>
      </c>
      <c r="X84" s="3">
        <v>-0.14640466217181433</v>
      </c>
      <c r="Y84" s="3">
        <v>4.1529204862765573E-3</v>
      </c>
      <c r="Z84" s="54">
        <v>2.8454999999999999</v>
      </c>
    </row>
    <row r="85" spans="1:26">
      <c r="A85" t="s">
        <v>282</v>
      </c>
      <c r="B85">
        <v>1648</v>
      </c>
      <c r="C85" s="3">
        <v>0.16911827995255052</v>
      </c>
      <c r="D85" s="54">
        <v>0.25024585809592831</v>
      </c>
      <c r="E85" s="3">
        <v>0.173054641209129</v>
      </c>
      <c r="F85" s="54">
        <v>7.8839017730116132E-2</v>
      </c>
      <c r="G85" s="66">
        <v>1.2686406625554685</v>
      </c>
      <c r="H85" s="65">
        <v>1.3540948759786284</v>
      </c>
      <c r="I85" s="3">
        <v>0.14685677110309453</v>
      </c>
      <c r="J85" s="3">
        <v>0.44540749279606739</v>
      </c>
      <c r="K85" s="3">
        <v>6.9500000000000006E-2</v>
      </c>
      <c r="L85" s="3">
        <v>8.207902347015307E-2</v>
      </c>
      <c r="M85" s="3">
        <v>0.13910010466338735</v>
      </c>
      <c r="N85" s="65">
        <v>0.94647831787590087</v>
      </c>
      <c r="O85" s="65">
        <v>6.7180138013623134</v>
      </c>
      <c r="P85" s="65">
        <v>21.774817579847788</v>
      </c>
      <c r="Q85" s="65">
        <v>33.846686642289974</v>
      </c>
      <c r="R85" s="65">
        <v>6.7650917422035324</v>
      </c>
      <c r="S85" s="65">
        <v>81.170186502471253</v>
      </c>
      <c r="T85" s="3">
        <v>0.14041979304897989</v>
      </c>
      <c r="U85" s="54">
        <v>0.15468778387373933</v>
      </c>
      <c r="V85" s="3">
        <v>0.17698341089820932</v>
      </c>
      <c r="W85" s="54">
        <v>1.4772666888447972</v>
      </c>
      <c r="X85" s="3">
        <v>0.13415189960739474</v>
      </c>
      <c r="Y85" s="3">
        <v>0.42167938062996485</v>
      </c>
      <c r="Z85" s="54">
        <v>0.89</v>
      </c>
    </row>
    <row r="86" spans="1:26">
      <c r="A86" t="s">
        <v>283</v>
      </c>
      <c r="B86">
        <v>710</v>
      </c>
      <c r="C86" s="3">
        <v>0.17691252873563204</v>
      </c>
      <c r="D86" s="54">
        <v>0.12049825504353878</v>
      </c>
      <c r="E86" s="3">
        <v>0.15474452778417921</v>
      </c>
      <c r="F86" s="54">
        <v>0.156647672993144</v>
      </c>
      <c r="G86" s="66">
        <v>0.90966185503727404</v>
      </c>
      <c r="H86" s="65">
        <v>1.2339858111510127</v>
      </c>
      <c r="I86" s="3">
        <v>0.13727206772985079</v>
      </c>
      <c r="J86" s="3">
        <v>0.36054916600984277</v>
      </c>
      <c r="K86" s="3">
        <v>6.9500000000000006E-2</v>
      </c>
      <c r="L86" s="3">
        <v>0.32124888739024365</v>
      </c>
      <c r="M86" s="3">
        <v>0.10999234538941745</v>
      </c>
      <c r="N86" s="65">
        <v>1.5324538849846425</v>
      </c>
      <c r="O86" s="65">
        <v>0.68252630940677284</v>
      </c>
      <c r="P86" s="65">
        <v>4.2421310055380514</v>
      </c>
      <c r="Q86" s="65">
        <v>5.4961468710107608</v>
      </c>
      <c r="R86" s="65">
        <v>1.0334392437356485</v>
      </c>
      <c r="S86" s="65">
        <v>34.010112280980266</v>
      </c>
      <c r="T86" s="3">
        <v>0.1414384207393182</v>
      </c>
      <c r="U86" s="54">
        <v>3.1576044068549095E-2</v>
      </c>
      <c r="V86" s="3">
        <v>3.1233063526508904E-2</v>
      </c>
      <c r="W86" s="54">
        <v>0.69060940526576531</v>
      </c>
      <c r="X86" s="3">
        <v>0.19513585801447908</v>
      </c>
      <c r="Y86" s="3">
        <v>0.34425266167339813</v>
      </c>
      <c r="Z86" s="54">
        <v>0.55210000000000004</v>
      </c>
    </row>
    <row r="87" spans="1:26">
      <c r="A87" t="s">
        <v>284</v>
      </c>
      <c r="B87">
        <v>99</v>
      </c>
      <c r="C87" s="3">
        <v>3.9863866666666657E-2</v>
      </c>
      <c r="D87" s="54">
        <v>0.15635768332895666</v>
      </c>
      <c r="E87" s="3">
        <v>7.1853804995165846E-2</v>
      </c>
      <c r="F87" s="54">
        <v>0.16214040083610165</v>
      </c>
      <c r="G87" s="66">
        <v>0.54851045881253901</v>
      </c>
      <c r="H87" s="65">
        <v>0.8356105248266873</v>
      </c>
      <c r="I87" s="3">
        <v>0.10548171988116964</v>
      </c>
      <c r="J87" s="3">
        <v>0.27376891988486907</v>
      </c>
      <c r="K87" s="3">
        <v>6.9500000000000006E-2</v>
      </c>
      <c r="L87" s="3">
        <v>0.40997135229477483</v>
      </c>
      <c r="M87" s="3">
        <v>8.3701020207121835E-2</v>
      </c>
      <c r="N87" s="65">
        <v>0.59875669525319775</v>
      </c>
      <c r="O87" s="65">
        <v>2.1639337464462898</v>
      </c>
      <c r="P87" s="65">
        <v>6.7674351253486078</v>
      </c>
      <c r="Q87" s="65">
        <v>14.969037905540716</v>
      </c>
      <c r="R87" s="65">
        <v>1.4016862038068374</v>
      </c>
      <c r="S87" s="65">
        <v>24.327805212795383</v>
      </c>
      <c r="T87" s="3">
        <v>-6.568226483759157E-2</v>
      </c>
      <c r="U87" s="54">
        <v>-4.8848706537620171E-3</v>
      </c>
      <c r="V87" s="3">
        <v>1.0045620758875377E-2</v>
      </c>
      <c r="W87" s="54">
        <v>0.23431849746915523</v>
      </c>
      <c r="X87" s="3">
        <v>5.9656101073844982E-2</v>
      </c>
      <c r="Y87" s="3">
        <v>0.94566204010401345</v>
      </c>
      <c r="Z87" s="54">
        <v>5.4899999999999997E-2</v>
      </c>
    </row>
    <row r="88" spans="1:26">
      <c r="A88" t="s">
        <v>285</v>
      </c>
      <c r="B88">
        <v>461</v>
      </c>
      <c r="C88" s="3">
        <v>4.4529398907103827E-2</v>
      </c>
      <c r="D88" s="54">
        <v>0.12411511802730368</v>
      </c>
      <c r="E88" s="3">
        <v>0.12105446393642671</v>
      </c>
      <c r="F88" s="54">
        <v>8.4047790892122359E-2</v>
      </c>
      <c r="G88" s="66">
        <v>1.0845192281648102</v>
      </c>
      <c r="H88" s="65">
        <v>1.1987978378632358</v>
      </c>
      <c r="I88" s="3">
        <v>0.1344640674614862</v>
      </c>
      <c r="J88" s="3">
        <v>0.35575957529107116</v>
      </c>
      <c r="K88" s="3">
        <v>6.9500000000000006E-2</v>
      </c>
      <c r="L88" s="3">
        <v>0.12271568825108702</v>
      </c>
      <c r="M88" s="3">
        <v>0.12438791697109762</v>
      </c>
      <c r="N88" s="65">
        <v>1.2296782460866211</v>
      </c>
      <c r="O88" s="65">
        <v>2.2056685736550157</v>
      </c>
      <c r="P88" s="65">
        <v>13.982133050228981</v>
      </c>
      <c r="Q88" s="65">
        <v>19.267327671178666</v>
      </c>
      <c r="R88" s="65">
        <v>3.2789066545616312</v>
      </c>
      <c r="S88" s="65">
        <v>48.329999560360697</v>
      </c>
      <c r="T88" s="3">
        <v>0.24547671050793304</v>
      </c>
      <c r="U88" s="54">
        <v>5.5885499621082552E-2</v>
      </c>
      <c r="V88" s="3">
        <v>3.5067191787542577E-2</v>
      </c>
      <c r="W88" s="54">
        <v>0.80979020806717117</v>
      </c>
      <c r="X88" s="3">
        <v>0.12699399947863158</v>
      </c>
      <c r="Y88" s="3">
        <v>0.48118218970957899</v>
      </c>
      <c r="Z88" s="54">
        <v>1.1647000000000001</v>
      </c>
    </row>
    <row r="89" spans="1:26">
      <c r="A89" t="s">
        <v>286</v>
      </c>
      <c r="B89">
        <v>295</v>
      </c>
      <c r="C89" s="3">
        <v>9.3719248826291068E-2</v>
      </c>
      <c r="D89" s="54">
        <v>0.14900921415634</v>
      </c>
      <c r="E89" s="3">
        <v>8.3002848233363569E-2</v>
      </c>
      <c r="F89" s="54">
        <v>0.13675559575935828</v>
      </c>
      <c r="G89" s="66">
        <v>0.51010017933692853</v>
      </c>
      <c r="H89" s="65">
        <v>0.83120448295402005</v>
      </c>
      <c r="I89" s="3">
        <v>0.1051301177397308</v>
      </c>
      <c r="J89" s="3">
        <v>0.33234588224425837</v>
      </c>
      <c r="K89" s="3">
        <v>6.9500000000000006E-2</v>
      </c>
      <c r="L89" s="3">
        <v>0.45523285018801557</v>
      </c>
      <c r="M89" s="3">
        <v>8.1104854570712426E-2</v>
      </c>
      <c r="N89" s="65">
        <v>0.66302528624879975</v>
      </c>
      <c r="O89" s="65">
        <v>2.0938341981018391</v>
      </c>
      <c r="P89" s="65">
        <v>6.8143143019397634</v>
      </c>
      <c r="Q89" s="65">
        <v>14.316491404336567</v>
      </c>
      <c r="R89" s="65">
        <v>1.3406890906280109</v>
      </c>
      <c r="S89" s="65">
        <v>38.642893253116668</v>
      </c>
      <c r="T89" s="3">
        <v>8.4981712220580687E-3</v>
      </c>
      <c r="U89" s="54">
        <v>-6.0283538442271873E-4</v>
      </c>
      <c r="V89" s="3">
        <v>1.8398303676254975E-3</v>
      </c>
      <c r="W89" s="54">
        <v>6.3041372120910863E-2</v>
      </c>
      <c r="X89" s="3">
        <v>9.7927580759062105E-2</v>
      </c>
      <c r="Y89" s="3">
        <v>0.63969274552605071</v>
      </c>
      <c r="Z89" s="54">
        <v>0.1409</v>
      </c>
    </row>
    <row r="90" spans="1:26">
      <c r="A90" t="s">
        <v>287</v>
      </c>
      <c r="B90">
        <v>56</v>
      </c>
      <c r="C90" s="3">
        <v>9.822864864864865E-2</v>
      </c>
      <c r="D90" s="54">
        <v>0.33755729882499863</v>
      </c>
      <c r="E90" s="3">
        <v>0.20013728578995296</v>
      </c>
      <c r="F90" s="54">
        <v>0.18772024591495493</v>
      </c>
      <c r="G90" s="66">
        <v>0.74277263460419674</v>
      </c>
      <c r="H90" s="65">
        <v>0.89286131889100684</v>
      </c>
      <c r="I90" s="3">
        <v>0.11005033324750234</v>
      </c>
      <c r="J90" s="3">
        <v>0.28815132980992253</v>
      </c>
      <c r="K90" s="3">
        <v>6.9500000000000006E-2</v>
      </c>
      <c r="L90" s="3">
        <v>0.21150591899864943</v>
      </c>
      <c r="M90" s="3">
        <v>9.7847291288208668E-2</v>
      </c>
      <c r="N90" s="65">
        <v>0.73483182839642613</v>
      </c>
      <c r="O90" s="65">
        <v>3.7714885665907185</v>
      </c>
      <c r="P90" s="65">
        <v>10.157432415100599</v>
      </c>
      <c r="Q90" s="65">
        <v>11.217270381251886</v>
      </c>
      <c r="R90" s="65">
        <v>3.4958341314125998</v>
      </c>
      <c r="S90" s="65">
        <v>12.602231253306266</v>
      </c>
      <c r="T90" s="3">
        <v>0.14326577092025009</v>
      </c>
      <c r="U90" s="54">
        <v>-3.9573561387867613E-2</v>
      </c>
      <c r="V90" s="3">
        <v>1.2922319142159418E-2</v>
      </c>
      <c r="W90" s="54">
        <v>5.4294763263544675E-2</v>
      </c>
      <c r="X90" s="3">
        <v>0.22341989038959192</v>
      </c>
      <c r="Y90" s="3">
        <v>0.91180748886312335</v>
      </c>
      <c r="Z90" s="54">
        <v>0.68979999999999997</v>
      </c>
    </row>
    <row r="91" spans="1:26">
      <c r="A91" t="s">
        <v>288</v>
      </c>
      <c r="B91">
        <v>302</v>
      </c>
      <c r="C91" s="3">
        <v>0.10729344497607662</v>
      </c>
      <c r="D91" s="54">
        <v>8.1593456144934726E-2</v>
      </c>
      <c r="E91" s="3">
        <v>0.12720264109772611</v>
      </c>
      <c r="F91" s="54">
        <v>0.17256982321882886</v>
      </c>
      <c r="G91" s="66">
        <v>0.75689602255907651</v>
      </c>
      <c r="H91" s="65">
        <v>1.0148110401540846</v>
      </c>
      <c r="I91" s="3">
        <v>0.11978192100429595</v>
      </c>
      <c r="J91" s="3">
        <v>0.31084297302653918</v>
      </c>
      <c r="K91" s="3">
        <v>6.9500000000000006E-2</v>
      </c>
      <c r="L91" s="3">
        <v>0.31145967209766678</v>
      </c>
      <c r="M91" s="3">
        <v>9.87809518489558E-2</v>
      </c>
      <c r="N91" s="65">
        <v>1.9460842931032309</v>
      </c>
      <c r="O91" s="65">
        <v>0.98900039785159</v>
      </c>
      <c r="P91" s="65">
        <v>7.8927592818396839</v>
      </c>
      <c r="Q91" s="65">
        <v>12.289046954707567</v>
      </c>
      <c r="R91" s="65">
        <v>1.9154341025484678</v>
      </c>
      <c r="S91" s="65">
        <v>27.907558356540434</v>
      </c>
      <c r="T91" s="3">
        <v>4.6289247811254666E-2</v>
      </c>
      <c r="U91" s="54">
        <v>1.2482659556912757E-2</v>
      </c>
      <c r="V91" s="3">
        <v>2.1304357895726649E-2</v>
      </c>
      <c r="W91" s="54">
        <v>0.56371293751510465</v>
      </c>
      <c r="X91" s="3">
        <v>0.18047586417013964</v>
      </c>
      <c r="Y91" s="3">
        <v>0.3759045643575265</v>
      </c>
      <c r="Z91" s="54">
        <v>0.40620000000000001</v>
      </c>
    </row>
    <row r="92" spans="1:26">
      <c r="A92" t="s">
        <v>289</v>
      </c>
      <c r="B92">
        <v>50</v>
      </c>
      <c r="C92" s="3">
        <v>5.1318604651162747E-3</v>
      </c>
      <c r="D92" s="54">
        <v>0.23187542594988514</v>
      </c>
      <c r="E92" s="3">
        <v>6.3106474006416002E-2</v>
      </c>
      <c r="F92" s="54">
        <v>0.21371577768415168</v>
      </c>
      <c r="G92" s="66">
        <v>0.51967223209091828</v>
      </c>
      <c r="H92" s="65">
        <v>0.67261472581248538</v>
      </c>
      <c r="I92" s="3">
        <v>9.2474655119836324E-2</v>
      </c>
      <c r="J92" s="3">
        <v>0.1904649831765268</v>
      </c>
      <c r="K92" s="3">
        <v>6.1800000000000001E-2</v>
      </c>
      <c r="L92" s="3">
        <v>0.28093173916735564</v>
      </c>
      <c r="M92" s="3">
        <v>7.957406875741202E-2</v>
      </c>
      <c r="N92" s="65">
        <v>0.35264141209829214</v>
      </c>
      <c r="O92" s="65">
        <v>4.9514550191904148</v>
      </c>
      <c r="P92" s="65">
        <v>14.391882936833516</v>
      </c>
      <c r="Q92" s="65">
        <v>21.521720661372516</v>
      </c>
      <c r="R92" s="65">
        <v>2.5233071875662696</v>
      </c>
      <c r="S92" s="65">
        <v>47.926146065216102</v>
      </c>
      <c r="T92" s="3">
        <v>5.6540294359728252E-2</v>
      </c>
      <c r="U92" s="54">
        <v>0.1203793615216346</v>
      </c>
      <c r="V92" s="3">
        <v>8.1073848062129403E-2</v>
      </c>
      <c r="W92" s="54">
        <v>0.49777850427936171</v>
      </c>
      <c r="X92" s="3">
        <v>0.10779442786699867</v>
      </c>
      <c r="Y92" s="3">
        <v>0.42288213474408926</v>
      </c>
      <c r="Z92" s="54">
        <v>0.53269999999999995</v>
      </c>
    </row>
    <row r="93" spans="1:26">
      <c r="A93" t="s">
        <v>290</v>
      </c>
      <c r="B93">
        <v>220</v>
      </c>
      <c r="C93" s="3">
        <v>6.7412287581699343E-2</v>
      </c>
      <c r="D93" s="54">
        <v>9.5916312851321156E-2</v>
      </c>
      <c r="E93" s="3">
        <v>9.325941401187661E-2</v>
      </c>
      <c r="F93" s="54">
        <v>0.16867577072712142</v>
      </c>
      <c r="G93" s="66">
        <v>0.74823493620234915</v>
      </c>
      <c r="H93" s="65">
        <v>1.0796626585301576</v>
      </c>
      <c r="I93" s="3">
        <v>0.12495708015070657</v>
      </c>
      <c r="J93" s="3">
        <v>0.31796488514967647</v>
      </c>
      <c r="K93" s="3">
        <v>6.9500000000000006E-2</v>
      </c>
      <c r="L93" s="3">
        <v>0.37028006138641539</v>
      </c>
      <c r="M93" s="3">
        <v>9.8073736773681586E-2</v>
      </c>
      <c r="N93" s="65">
        <v>1.2683662093737476</v>
      </c>
      <c r="O93" s="65">
        <v>1.4582532006532531</v>
      </c>
      <c r="P93" s="65">
        <v>7.1812178949304286</v>
      </c>
      <c r="Q93" s="65">
        <v>13.577420148175593</v>
      </c>
      <c r="R93" s="65">
        <v>2.3093625400302482</v>
      </c>
      <c r="S93" s="65">
        <v>20.393774092471542</v>
      </c>
      <c r="T93" s="3">
        <v>6.1631284750963661E-2</v>
      </c>
      <c r="U93" s="54">
        <v>4.1274743550647898E-2</v>
      </c>
      <c r="V93" s="3">
        <v>6.5333099457492758E-2</v>
      </c>
      <c r="W93" s="54">
        <v>1.2953650987044991</v>
      </c>
      <c r="X93" s="3">
        <v>4.8007666832446935E-2</v>
      </c>
      <c r="Y93" s="3">
        <v>0.47214545338387454</v>
      </c>
      <c r="Z93" s="54">
        <v>1.2805</v>
      </c>
    </row>
    <row r="94" spans="1:26">
      <c r="A94" t="s">
        <v>291</v>
      </c>
      <c r="B94">
        <v>51</v>
      </c>
      <c r="C94" s="3">
        <v>7.792022222222221E-2</v>
      </c>
      <c r="D94" s="54">
        <v>0.11586896226062708</v>
      </c>
      <c r="E94" s="3">
        <v>7.6714423003748339E-2</v>
      </c>
      <c r="F94" s="54">
        <v>0.15579817806181609</v>
      </c>
      <c r="G94" s="66">
        <v>0.42356754561400894</v>
      </c>
      <c r="H94" s="65">
        <v>0.68093285394007141</v>
      </c>
      <c r="I94" s="3">
        <v>9.3138441744417697E-2</v>
      </c>
      <c r="J94" s="3">
        <v>0.18373338360033689</v>
      </c>
      <c r="K94" s="3">
        <v>6.1800000000000001E-2</v>
      </c>
      <c r="L94" s="3">
        <v>0.44647469066862239</v>
      </c>
      <c r="M94" s="3">
        <v>7.2339640738126917E-2</v>
      </c>
      <c r="N94" s="65">
        <v>0.79592572670996531</v>
      </c>
      <c r="O94" s="65">
        <v>2.0587197648578983</v>
      </c>
      <c r="P94" s="65">
        <v>11.022432960755802</v>
      </c>
      <c r="Q94" s="65">
        <v>17.920870096933381</v>
      </c>
      <c r="R94" s="65">
        <v>1.6077812288677511</v>
      </c>
      <c r="S94" s="65">
        <v>19.959924071772317</v>
      </c>
      <c r="T94" s="3">
        <v>2.1882787338106589E-2</v>
      </c>
      <c r="U94" s="54">
        <v>9.3012239371143265E-2</v>
      </c>
      <c r="V94" s="3">
        <v>7.4413848046799388E-2</v>
      </c>
      <c r="W94" s="54">
        <v>1.1281129759412232</v>
      </c>
      <c r="X94" s="3">
        <v>0.12706804579670924</v>
      </c>
      <c r="Y94" s="3">
        <v>0.56808177867298026</v>
      </c>
      <c r="Z94" s="54">
        <v>0.749</v>
      </c>
    </row>
    <row r="95" spans="1:26">
      <c r="A95" t="s">
        <v>292</v>
      </c>
      <c r="B95">
        <v>104</v>
      </c>
      <c r="C95" s="3">
        <v>7.9921733333333342E-2</v>
      </c>
      <c r="D95" s="54">
        <v>0.23471587563425553</v>
      </c>
      <c r="E95" s="3">
        <v>6.8333493617463478E-2</v>
      </c>
      <c r="F95" s="54">
        <v>0.1288865652139681</v>
      </c>
      <c r="G95" s="66">
        <v>0.4562339510982984</v>
      </c>
      <c r="H95" s="65">
        <v>0.74037836279006486</v>
      </c>
      <c r="I95" s="3">
        <v>9.7882193350647184E-2</v>
      </c>
      <c r="J95" s="3">
        <v>0.35890591866830529</v>
      </c>
      <c r="K95" s="3">
        <v>6.9500000000000006E-2</v>
      </c>
      <c r="L95" s="3">
        <v>0.45258505055032439</v>
      </c>
      <c r="M95" s="3">
        <v>7.7276972066347274E-2</v>
      </c>
      <c r="N95" s="65">
        <v>0.2960000594907215</v>
      </c>
      <c r="O95" s="65">
        <v>4.7535462364637491</v>
      </c>
      <c r="P95" s="65">
        <v>12.93134872040161</v>
      </c>
      <c r="Q95" s="65">
        <v>20.069056769362522</v>
      </c>
      <c r="R95" s="65">
        <v>1.5000124500603853</v>
      </c>
      <c r="S95" s="65">
        <v>27.005335813319128</v>
      </c>
      <c r="T95" s="3">
        <v>4.2979439477294483E-2</v>
      </c>
      <c r="U95" s="54">
        <v>0.14186564829322693</v>
      </c>
      <c r="V95" s="3">
        <v>0.11132379540777157</v>
      </c>
      <c r="W95" s="54">
        <v>0.99074678758901424</v>
      </c>
      <c r="X95" s="3">
        <v>5.007048841854516E-2</v>
      </c>
      <c r="Y95" s="3">
        <v>0.41572668892840536</v>
      </c>
      <c r="Z95" s="54">
        <v>1.1306</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A600BF-8587-4F70-984D-CD566A3DC282}">
  <sheetPr>
    <tabColor theme="4" tint="0.39997558519241921"/>
  </sheetPr>
  <dimension ref="A1:K165"/>
  <sheetViews>
    <sheetView workbookViewId="0">
      <pane ySplit="1" topLeftCell="A2" activePane="bottomLeft" state="frozen"/>
      <selection pane="bottomLeft" activeCell="D149" sqref="D149"/>
    </sheetView>
  </sheetViews>
  <sheetFormatPr defaultRowHeight="15"/>
  <cols>
    <col min="1" max="1" width="29.42578125" bestFit="1" customWidth="1"/>
    <col min="2" max="2" width="18.42578125" bestFit="1" customWidth="1"/>
    <col min="3" max="3" width="20" bestFit="1" customWidth="1"/>
    <col min="4" max="4" width="20.140625" bestFit="1" customWidth="1"/>
    <col min="5" max="5" width="22.5703125" bestFit="1" customWidth="1"/>
    <col min="6" max="6" width="19.85546875" bestFit="1" customWidth="1"/>
    <col min="7" max="7" width="8.28515625" bestFit="1" customWidth="1"/>
    <col min="10" max="10" width="29.42578125" bestFit="1" customWidth="1"/>
    <col min="12" max="12" width="29.42578125" bestFit="1" customWidth="1"/>
  </cols>
  <sheetData>
    <row r="1" spans="1:11" ht="15.75">
      <c r="A1" s="27" t="s">
        <v>35</v>
      </c>
      <c r="B1" s="28" t="s">
        <v>585</v>
      </c>
      <c r="C1" s="27" t="s">
        <v>586</v>
      </c>
      <c r="D1" s="27" t="s">
        <v>587</v>
      </c>
      <c r="E1" s="29" t="s">
        <v>588</v>
      </c>
      <c r="F1" s="29" t="s">
        <v>589</v>
      </c>
      <c r="G1" s="27" t="s">
        <v>36</v>
      </c>
    </row>
    <row r="2" spans="1:11">
      <c r="A2" t="s">
        <v>37</v>
      </c>
      <c r="B2">
        <v>415</v>
      </c>
      <c r="C2" s="3">
        <v>6.0399082568807346E-3</v>
      </c>
      <c r="D2" s="3">
        <f>$D$148+E2</f>
        <v>5.7320043164007212E-2</v>
      </c>
      <c r="E2" s="3">
        <v>8.5200431640072103E-3</v>
      </c>
      <c r="F2" s="3">
        <v>0.15</v>
      </c>
      <c r="G2" t="s">
        <v>38</v>
      </c>
      <c r="K2" s="118"/>
    </row>
    <row r="3" spans="1:11">
      <c r="A3" t="s">
        <v>39</v>
      </c>
      <c r="B3">
        <v>13.04</v>
      </c>
      <c r="C3" s="3">
        <v>5.5078211009174309E-2</v>
      </c>
      <c r="D3" s="3">
        <f>$D$148+E3</f>
        <v>0.12649467932892289</v>
      </c>
      <c r="E3" s="3">
        <v>7.7694679328922892E-2</v>
      </c>
      <c r="F3" s="3">
        <v>0.15</v>
      </c>
      <c r="G3" t="s">
        <v>40</v>
      </c>
      <c r="K3" s="118"/>
    </row>
    <row r="4" spans="1:11">
      <c r="A4" t="s">
        <v>590</v>
      </c>
      <c r="B4">
        <v>3.01</v>
      </c>
      <c r="C4" s="3">
        <v>2.3296788990825688E-2</v>
      </c>
      <c r="D4" s="3">
        <f t="shared" ref="D4:D67" si="0">$D$148+E4</f>
        <v>8.1663023632599238E-2</v>
      </c>
      <c r="E4" s="3">
        <v>3.2863023632599235E-2</v>
      </c>
      <c r="F4" s="3">
        <v>0.1</v>
      </c>
      <c r="G4" t="s">
        <v>42</v>
      </c>
      <c r="K4" s="118"/>
    </row>
    <row r="5" spans="1:11">
      <c r="A5" t="s">
        <v>43</v>
      </c>
      <c r="B5">
        <v>124.21</v>
      </c>
      <c r="C5" s="3">
        <v>7.9525458715596339E-2</v>
      </c>
      <c r="D5" s="3">
        <f t="shared" si="0"/>
        <v>0.16098056832609495</v>
      </c>
      <c r="E5" s="3">
        <v>0.11218056832609494</v>
      </c>
      <c r="F5" s="3">
        <v>0.25</v>
      </c>
      <c r="G5" t="s">
        <v>44</v>
      </c>
      <c r="K5" s="118"/>
    </row>
    <row r="6" spans="1:11">
      <c r="A6" t="s">
        <v>45</v>
      </c>
      <c r="B6">
        <v>637.59</v>
      </c>
      <c r="C6" s="3">
        <v>0.14682729357798166</v>
      </c>
      <c r="D6" s="3">
        <f t="shared" si="0"/>
        <v>0.25591819215360384</v>
      </c>
      <c r="E6" s="3">
        <v>0.20711819215360386</v>
      </c>
      <c r="F6" s="3">
        <v>0.35</v>
      </c>
      <c r="G6" t="s">
        <v>46</v>
      </c>
      <c r="K6" s="118"/>
    </row>
    <row r="7" spans="1:11">
      <c r="A7" t="s">
        <v>47</v>
      </c>
      <c r="B7">
        <v>11.54</v>
      </c>
      <c r="C7" s="3">
        <v>4.4005045871559637E-2</v>
      </c>
      <c r="D7" s="3">
        <f t="shared" si="0"/>
        <v>0.11087460019490969</v>
      </c>
      <c r="E7" s="3">
        <v>6.2074600194909679E-2</v>
      </c>
      <c r="F7" s="3">
        <v>0.18</v>
      </c>
      <c r="G7" t="s">
        <v>40</v>
      </c>
      <c r="K7" s="118"/>
    </row>
    <row r="8" spans="1:11">
      <c r="A8" t="s">
        <v>48</v>
      </c>
      <c r="B8">
        <v>3</v>
      </c>
      <c r="C8" s="3">
        <v>2.3296788990825688E-2</v>
      </c>
      <c r="D8" s="3">
        <f t="shared" si="0"/>
        <v>8.1663023632599238E-2</v>
      </c>
      <c r="E8" s="3">
        <v>3.2863023632599235E-2</v>
      </c>
      <c r="F8" s="3">
        <v>0.25</v>
      </c>
      <c r="G8" t="s">
        <v>49</v>
      </c>
      <c r="K8" s="118"/>
    </row>
    <row r="9" spans="1:11">
      <c r="A9" t="s">
        <v>50</v>
      </c>
      <c r="B9">
        <v>1323.42</v>
      </c>
      <c r="C9" s="3">
        <v>0</v>
      </c>
      <c r="D9" s="3">
        <f t="shared" si="0"/>
        <v>4.8800000000000003E-2</v>
      </c>
      <c r="E9" s="3">
        <v>0</v>
      </c>
      <c r="F9" s="3">
        <v>0.3</v>
      </c>
      <c r="G9" t="s">
        <v>51</v>
      </c>
      <c r="K9" s="118"/>
    </row>
    <row r="10" spans="1:11">
      <c r="A10" t="s">
        <v>52</v>
      </c>
      <c r="B10">
        <v>416.6</v>
      </c>
      <c r="C10" s="3">
        <v>4.8894495412844033E-3</v>
      </c>
      <c r="D10" s="3">
        <f t="shared" si="0"/>
        <v>5.5697177799434408E-2</v>
      </c>
      <c r="E10" s="3">
        <v>6.8971777994344076E-3</v>
      </c>
      <c r="F10" s="3">
        <v>0.24</v>
      </c>
      <c r="G10" t="s">
        <v>42</v>
      </c>
      <c r="K10" s="118"/>
    </row>
    <row r="11" spans="1:11">
      <c r="A11" t="s">
        <v>53</v>
      </c>
      <c r="B11">
        <v>40.75</v>
      </c>
      <c r="C11" s="3">
        <v>3.0630963302752296E-2</v>
      </c>
      <c r="D11" s="3">
        <f t="shared" si="0"/>
        <v>9.2008790331750856E-2</v>
      </c>
      <c r="E11" s="3">
        <v>4.3208790331750853E-2</v>
      </c>
      <c r="F11" s="3">
        <v>0.2</v>
      </c>
      <c r="G11" t="s">
        <v>40</v>
      </c>
      <c r="K11" s="118"/>
    </row>
    <row r="12" spans="1:11">
      <c r="A12" t="s">
        <v>54</v>
      </c>
      <c r="B12">
        <v>12.16</v>
      </c>
      <c r="C12" s="3">
        <v>5.5078211009174309E-2</v>
      </c>
      <c r="D12" s="3">
        <f t="shared" si="0"/>
        <v>0.12649467932892289</v>
      </c>
      <c r="E12" s="3">
        <v>7.7694679328922892E-2</v>
      </c>
      <c r="F12" s="3">
        <v>0</v>
      </c>
      <c r="G12" t="s">
        <v>49</v>
      </c>
      <c r="K12" s="118"/>
    </row>
    <row r="13" spans="1:11">
      <c r="A13" t="s">
        <v>55</v>
      </c>
      <c r="B13">
        <v>35.31</v>
      </c>
      <c r="C13" s="3">
        <v>6.7301834862385335E-2</v>
      </c>
      <c r="D13" s="3">
        <f t="shared" si="0"/>
        <v>0.14373762382750893</v>
      </c>
      <c r="E13" s="3">
        <v>9.4937623827508935E-2</v>
      </c>
      <c r="F13" s="3">
        <v>0</v>
      </c>
      <c r="G13" t="s">
        <v>38</v>
      </c>
      <c r="K13" s="118"/>
    </row>
    <row r="14" spans="1:11">
      <c r="A14" t="s">
        <v>56</v>
      </c>
      <c r="B14">
        <v>249.72</v>
      </c>
      <c r="C14" s="3">
        <v>4.4005045871559637E-2</v>
      </c>
      <c r="D14" s="3">
        <f t="shared" si="0"/>
        <v>0.11087460019490969</v>
      </c>
      <c r="E14" s="3">
        <v>6.2074600194909679E-2</v>
      </c>
      <c r="F14" s="3">
        <v>0.32500000000000001</v>
      </c>
      <c r="G14" t="s">
        <v>57</v>
      </c>
      <c r="K14" s="118"/>
    </row>
    <row r="15" spans="1:11">
      <c r="A15" t="s">
        <v>58</v>
      </c>
      <c r="B15">
        <v>4.8</v>
      </c>
      <c r="C15" s="3">
        <v>9.1749082568807344E-2</v>
      </c>
      <c r="D15" s="3">
        <f t="shared" si="0"/>
        <v>0.17822351282468096</v>
      </c>
      <c r="E15" s="3">
        <v>0.12942351282468095</v>
      </c>
      <c r="F15" s="3">
        <v>5.5E-2</v>
      </c>
      <c r="G15" t="s">
        <v>49</v>
      </c>
      <c r="K15" s="118"/>
    </row>
    <row r="16" spans="1:11">
      <c r="A16" t="s">
        <v>59</v>
      </c>
      <c r="B16">
        <v>54.44</v>
      </c>
      <c r="C16" s="3">
        <v>0.14682729357798166</v>
      </c>
      <c r="D16" s="3">
        <f t="shared" si="0"/>
        <v>0.25591819215360384</v>
      </c>
      <c r="E16" s="3">
        <v>0.20711819215360386</v>
      </c>
      <c r="F16" s="3">
        <v>0.18</v>
      </c>
      <c r="G16" t="s">
        <v>40</v>
      </c>
      <c r="K16" s="118"/>
    </row>
    <row r="17" spans="1:11">
      <c r="A17" t="s">
        <v>60</v>
      </c>
      <c r="B17">
        <v>492.68</v>
      </c>
      <c r="C17" s="3">
        <v>7.3341743119266058E-3</v>
      </c>
      <c r="D17" s="3">
        <f t="shared" si="0"/>
        <v>5.9145766699151614E-2</v>
      </c>
      <c r="E17" s="3">
        <v>1.0345766699151613E-2</v>
      </c>
      <c r="F17" s="3">
        <v>0.25</v>
      </c>
      <c r="G17" t="s">
        <v>42</v>
      </c>
      <c r="K17" s="118"/>
    </row>
    <row r="18" spans="1:11">
      <c r="A18" t="s">
        <v>61</v>
      </c>
      <c r="B18">
        <v>1.84</v>
      </c>
      <c r="C18" s="3">
        <v>0.11015642201834862</v>
      </c>
      <c r="D18" s="3">
        <f t="shared" si="0"/>
        <v>0.20418935865784579</v>
      </c>
      <c r="E18" s="3">
        <v>0.15538935865784578</v>
      </c>
      <c r="F18" s="3"/>
      <c r="G18" t="s">
        <v>46</v>
      </c>
      <c r="K18" s="118"/>
    </row>
    <row r="19" spans="1:11">
      <c r="A19" t="s">
        <v>63</v>
      </c>
      <c r="B19">
        <v>6.2</v>
      </c>
      <c r="C19" s="3">
        <v>1.0354128440366973E-2</v>
      </c>
      <c r="D19" s="3">
        <f t="shared" si="0"/>
        <v>6.3405788281155215E-2</v>
      </c>
      <c r="E19" s="3">
        <v>1.4605788281155217E-2</v>
      </c>
      <c r="F19" s="3">
        <v>0</v>
      </c>
      <c r="G19" t="s">
        <v>49</v>
      </c>
      <c r="K19" s="118"/>
    </row>
    <row r="20" spans="1:11">
      <c r="A20" t="s">
        <v>64</v>
      </c>
      <c r="B20">
        <v>37.51</v>
      </c>
      <c r="C20" s="3">
        <v>6.7301834862385335E-2</v>
      </c>
      <c r="D20" s="3">
        <f t="shared" si="0"/>
        <v>0.14373762382750893</v>
      </c>
      <c r="E20" s="3">
        <v>9.4937623827508935E-2</v>
      </c>
      <c r="F20" s="3">
        <v>0.25</v>
      </c>
      <c r="G20" t="s">
        <v>46</v>
      </c>
      <c r="K20" s="118"/>
    </row>
    <row r="21" spans="1:11">
      <c r="A21" t="s">
        <v>65</v>
      </c>
      <c r="B21">
        <v>18.170000000000002</v>
      </c>
      <c r="C21" s="3">
        <v>7.9525458715596339E-2</v>
      </c>
      <c r="D21" s="3">
        <f t="shared" si="0"/>
        <v>0.16098056832609495</v>
      </c>
      <c r="E21" s="3">
        <v>0.11218056832609494</v>
      </c>
      <c r="F21" s="3">
        <v>0.1</v>
      </c>
      <c r="G21" t="s">
        <v>40</v>
      </c>
      <c r="K21" s="118"/>
    </row>
    <row r="22" spans="1:11">
      <c r="A22" t="s">
        <v>66</v>
      </c>
      <c r="B22">
        <v>17.406530780715503</v>
      </c>
      <c r="C22" s="3">
        <v>1.4668348623853212E-2</v>
      </c>
      <c r="D22" s="3">
        <f t="shared" si="0"/>
        <v>6.9491533398303232E-2</v>
      </c>
      <c r="E22" s="3">
        <v>2.0691533398303225E-2</v>
      </c>
      <c r="F22" s="3">
        <v>0.22</v>
      </c>
      <c r="G22" t="s">
        <v>44</v>
      </c>
      <c r="K22" s="118"/>
    </row>
    <row r="23" spans="1:11">
      <c r="A23" t="s">
        <v>67</v>
      </c>
      <c r="B23">
        <v>2055.5055022247288</v>
      </c>
      <c r="C23" s="3">
        <v>3.6814678899082569E-2</v>
      </c>
      <c r="D23" s="3">
        <f t="shared" si="0"/>
        <v>0.10073169166632967</v>
      </c>
      <c r="E23" s="3">
        <v>5.193169166632966E-2</v>
      </c>
      <c r="F23" s="3">
        <v>0.34</v>
      </c>
      <c r="G23" t="s">
        <v>46</v>
      </c>
      <c r="K23" s="118"/>
    </row>
    <row r="24" spans="1:11">
      <c r="A24" t="s">
        <v>68</v>
      </c>
      <c r="B24">
        <v>56.831518294439654</v>
      </c>
      <c r="C24" s="3">
        <v>1.9557798165137613E-2</v>
      </c>
      <c r="D24" s="3">
        <f t="shared" si="0"/>
        <v>7.638871119773763E-2</v>
      </c>
      <c r="E24" s="3">
        <v>2.758871119773763E-2</v>
      </c>
      <c r="F24" s="3">
        <v>0.1</v>
      </c>
      <c r="G24" t="s">
        <v>40</v>
      </c>
      <c r="K24" s="118"/>
    </row>
    <row r="25" spans="1:11">
      <c r="A25" t="s">
        <v>69</v>
      </c>
      <c r="B25">
        <v>12.87311480001652</v>
      </c>
      <c r="C25" s="3">
        <v>9.1749082568807344E-2</v>
      </c>
      <c r="D25" s="3">
        <f t="shared" si="0"/>
        <v>0.17822351282468096</v>
      </c>
      <c r="E25" s="3">
        <v>0.12942351282468095</v>
      </c>
      <c r="F25" s="3">
        <v>0.28000000000000003</v>
      </c>
      <c r="G25" t="s">
        <v>44</v>
      </c>
      <c r="K25" s="118"/>
    </row>
    <row r="26" spans="1:11">
      <c r="A26" t="s">
        <v>70</v>
      </c>
      <c r="B26">
        <v>22.158209502639128</v>
      </c>
      <c r="C26" s="3">
        <v>6.7301834862385335E-2</v>
      </c>
      <c r="D26" s="3">
        <f t="shared" si="0"/>
        <v>0.14373762382750893</v>
      </c>
      <c r="E26" s="3">
        <v>9.4937623827508935E-2</v>
      </c>
      <c r="F26" s="3">
        <v>0.2</v>
      </c>
      <c r="G26" t="s">
        <v>57</v>
      </c>
      <c r="K26" s="118"/>
    </row>
    <row r="27" spans="1:11">
      <c r="A27" t="s">
        <v>71</v>
      </c>
      <c r="B27">
        <v>34.798596482427428</v>
      </c>
      <c r="C27" s="3">
        <v>6.7301834862385335E-2</v>
      </c>
      <c r="D27" s="3">
        <f t="shared" si="0"/>
        <v>0.14373762382750893</v>
      </c>
      <c r="E27" s="3">
        <v>9.4937623827508935E-2</v>
      </c>
      <c r="F27" s="3">
        <v>0.33</v>
      </c>
      <c r="G27" t="s">
        <v>44</v>
      </c>
      <c r="K27" s="118"/>
    </row>
    <row r="28" spans="1:11">
      <c r="A28" t="s">
        <v>72</v>
      </c>
      <c r="B28">
        <v>1653.042795255044</v>
      </c>
      <c r="C28" s="3">
        <v>0</v>
      </c>
      <c r="D28" s="3">
        <f t="shared" si="0"/>
        <v>4.8800000000000003E-2</v>
      </c>
      <c r="E28" s="3">
        <v>0</v>
      </c>
      <c r="F28" s="3">
        <v>0.25</v>
      </c>
      <c r="G28" t="s">
        <v>73</v>
      </c>
      <c r="K28" s="118"/>
    </row>
    <row r="29" spans="1:11">
      <c r="A29" t="s">
        <v>74</v>
      </c>
      <c r="B29">
        <v>3.2</v>
      </c>
      <c r="C29" s="3">
        <v>7.9525458715596339E-2</v>
      </c>
      <c r="D29" s="3">
        <f t="shared" si="0"/>
        <v>0.16098056832609495</v>
      </c>
      <c r="E29" s="3">
        <v>0.11218056832609494</v>
      </c>
      <c r="F29" s="3"/>
      <c r="G29" t="s">
        <v>44</v>
      </c>
      <c r="K29" s="118"/>
    </row>
    <row r="30" spans="1:11">
      <c r="A30" t="s">
        <v>75</v>
      </c>
      <c r="B30">
        <v>1.9</v>
      </c>
      <c r="C30" s="3">
        <v>7.3341743119266058E-3</v>
      </c>
      <c r="D30" s="3">
        <f t="shared" si="0"/>
        <v>5.9145766699151614E-2</v>
      </c>
      <c r="E30" s="3">
        <v>1.0345766699151613E-2</v>
      </c>
      <c r="F30" s="3">
        <v>0</v>
      </c>
      <c r="G30" t="s">
        <v>49</v>
      </c>
      <c r="K30" s="118"/>
    </row>
    <row r="31" spans="1:11">
      <c r="A31" t="s">
        <v>76</v>
      </c>
      <c r="B31">
        <v>277.07594440194083</v>
      </c>
      <c r="C31" s="3">
        <v>1.0354128440366973E-2</v>
      </c>
      <c r="D31" s="3">
        <f t="shared" si="0"/>
        <v>6.3405788281155215E-2</v>
      </c>
      <c r="E31" s="3">
        <v>1.4605788281155217E-2</v>
      </c>
      <c r="F31" s="3">
        <v>0.27</v>
      </c>
      <c r="G31" t="s">
        <v>46</v>
      </c>
      <c r="K31" s="118"/>
    </row>
    <row r="32" spans="1:11">
      <c r="A32" t="s">
        <v>77</v>
      </c>
      <c r="B32">
        <v>12237.700479375037</v>
      </c>
      <c r="C32" s="3">
        <v>8.6284403669724778E-3</v>
      </c>
      <c r="D32" s="3">
        <f t="shared" si="0"/>
        <v>6.0971490234296016E-2</v>
      </c>
      <c r="E32" s="3">
        <v>1.2171490234296015E-2</v>
      </c>
      <c r="F32" s="3">
        <v>0.25</v>
      </c>
      <c r="G32" t="s">
        <v>57</v>
      </c>
      <c r="K32" s="118"/>
    </row>
    <row r="33" spans="1:11">
      <c r="A33" t="s">
        <v>78</v>
      </c>
      <c r="B33">
        <v>309.19138283336514</v>
      </c>
      <c r="C33" s="3">
        <v>2.3296788990825688E-2</v>
      </c>
      <c r="D33" s="3">
        <f t="shared" si="0"/>
        <v>8.1663023632599238E-2</v>
      </c>
      <c r="E33" s="3">
        <v>3.2863023632599235E-2</v>
      </c>
      <c r="F33" s="3">
        <v>0.35</v>
      </c>
      <c r="G33" t="s">
        <v>46</v>
      </c>
      <c r="K33" s="118"/>
    </row>
    <row r="34" spans="1:11">
      <c r="A34" t="s">
        <v>79</v>
      </c>
      <c r="B34">
        <v>37.24</v>
      </c>
      <c r="C34" s="3">
        <v>7.9525458715596339E-2</v>
      </c>
      <c r="D34" s="3">
        <f t="shared" si="0"/>
        <v>0.16098056832609495</v>
      </c>
      <c r="E34" s="3">
        <v>0.11218056832609494</v>
      </c>
      <c r="F34" s="3">
        <v>0.28000000000000003</v>
      </c>
      <c r="G34" t="s">
        <v>44</v>
      </c>
      <c r="K34" s="118"/>
    </row>
    <row r="35" spans="1:11">
      <c r="A35" t="s">
        <v>80</v>
      </c>
      <c r="B35">
        <v>8.7200000000000006</v>
      </c>
      <c r="C35" s="3">
        <v>0.11015642201834862</v>
      </c>
      <c r="D35" s="3">
        <f t="shared" si="0"/>
        <v>0.20418935865784579</v>
      </c>
      <c r="E35" s="3">
        <v>0.15538935865784578</v>
      </c>
      <c r="F35" s="3">
        <v>0.3</v>
      </c>
      <c r="G35" t="s">
        <v>44</v>
      </c>
      <c r="K35" s="118"/>
    </row>
    <row r="36" spans="1:11">
      <c r="A36" t="s">
        <v>81</v>
      </c>
      <c r="B36">
        <v>1.2</v>
      </c>
      <c r="C36" s="3">
        <v>5.5078211009174309E-2</v>
      </c>
      <c r="D36" s="3">
        <f t="shared" si="0"/>
        <v>0.12649467932892289</v>
      </c>
      <c r="E36" s="3">
        <v>7.7694679328922892E-2</v>
      </c>
      <c r="F36" s="3"/>
      <c r="G36" t="s">
        <v>51</v>
      </c>
      <c r="K36" s="118"/>
    </row>
    <row r="37" spans="1:11">
      <c r="A37" t="s">
        <v>82</v>
      </c>
      <c r="B37">
        <v>57.057372468038302</v>
      </c>
      <c r="C37" s="3">
        <v>6.7301834862385335E-2</v>
      </c>
      <c r="D37" s="3">
        <f t="shared" si="0"/>
        <v>0.14373762382750893</v>
      </c>
      <c r="E37" s="3">
        <v>9.4937623827508935E-2</v>
      </c>
      <c r="F37" s="3">
        <v>0.3</v>
      </c>
      <c r="G37" t="s">
        <v>46</v>
      </c>
      <c r="K37" s="118"/>
    </row>
    <row r="38" spans="1:11">
      <c r="A38" s="116" t="s">
        <v>83</v>
      </c>
      <c r="B38">
        <v>40.388624117110865</v>
      </c>
      <c r="C38" s="3">
        <v>4.4005045871559637E-2</v>
      </c>
      <c r="D38" s="3">
        <f t="shared" si="0"/>
        <v>0.11087460019490969</v>
      </c>
      <c r="E38" s="3">
        <v>6.2074600194909679E-2</v>
      </c>
      <c r="F38" s="3"/>
      <c r="G38" t="s">
        <v>44</v>
      </c>
      <c r="K38" s="118"/>
    </row>
    <row r="39" spans="1:11">
      <c r="A39" t="s">
        <v>84</v>
      </c>
      <c r="B39">
        <v>54.849180228871646</v>
      </c>
      <c r="C39" s="3">
        <v>2.3296788990825688E-2</v>
      </c>
      <c r="D39" s="3">
        <f t="shared" si="0"/>
        <v>8.1663023632599238E-2</v>
      </c>
      <c r="E39" s="3">
        <v>3.2863023632599235E-2</v>
      </c>
      <c r="F39" s="3">
        <v>0.18</v>
      </c>
      <c r="G39" t="s">
        <v>40</v>
      </c>
      <c r="K39" s="118"/>
    </row>
    <row r="40" spans="1:11">
      <c r="A40" t="s">
        <v>85</v>
      </c>
      <c r="B40">
        <v>81.599999999999994</v>
      </c>
      <c r="C40" s="3">
        <v>0.14682729357798166</v>
      </c>
      <c r="D40" s="3">
        <f t="shared" si="0"/>
        <v>0.25591819215360384</v>
      </c>
      <c r="E40" s="3">
        <v>0.20711819215360386</v>
      </c>
      <c r="F40" s="3"/>
      <c r="G40" t="s">
        <v>49</v>
      </c>
      <c r="K40" s="118"/>
    </row>
    <row r="41" spans="1:11">
      <c r="A41" t="s">
        <v>86</v>
      </c>
      <c r="B41">
        <v>1</v>
      </c>
      <c r="C41" s="3">
        <v>2.3296788990825688E-2</v>
      </c>
      <c r="D41" s="3">
        <f t="shared" si="0"/>
        <v>8.1663023632599238E-2</v>
      </c>
      <c r="E41" s="3">
        <v>3.2863023632599235E-2</v>
      </c>
      <c r="F41" s="3">
        <v>0.22</v>
      </c>
      <c r="G41" t="s">
        <v>49</v>
      </c>
      <c r="K41" s="118"/>
    </row>
    <row r="42" spans="1:11">
      <c r="A42" t="s">
        <v>87</v>
      </c>
      <c r="B42">
        <v>21.651791751183232</v>
      </c>
      <c r="C42" s="3">
        <v>3.0630963302752296E-2</v>
      </c>
      <c r="D42" s="3">
        <f t="shared" si="0"/>
        <v>9.2008790331750856E-2</v>
      </c>
      <c r="E42" s="3">
        <v>4.3208790331750853E-2</v>
      </c>
      <c r="F42" s="3">
        <v>0.125</v>
      </c>
      <c r="G42" t="s">
        <v>42</v>
      </c>
      <c r="K42" s="118"/>
    </row>
    <row r="43" spans="1:11">
      <c r="A43" t="s">
        <v>88</v>
      </c>
      <c r="B43">
        <v>215.72553437237121</v>
      </c>
      <c r="C43" s="3">
        <v>7.3341743119266058E-3</v>
      </c>
      <c r="D43" s="3">
        <f t="shared" si="0"/>
        <v>5.9145766699151614E-2</v>
      </c>
      <c r="E43" s="3">
        <v>1.0345766699151613E-2</v>
      </c>
      <c r="F43" s="3">
        <v>0.19</v>
      </c>
      <c r="G43" t="s">
        <v>40</v>
      </c>
      <c r="K43" s="118"/>
    </row>
    <row r="44" spans="1:11">
      <c r="A44" t="s">
        <v>90</v>
      </c>
      <c r="B44">
        <v>324.8719688074687</v>
      </c>
      <c r="C44" s="3">
        <v>0</v>
      </c>
      <c r="D44" s="3">
        <f t="shared" si="0"/>
        <v>4.8800000000000003E-2</v>
      </c>
      <c r="E44" s="3">
        <v>0</v>
      </c>
      <c r="F44" s="3">
        <v>0.22</v>
      </c>
      <c r="G44" t="s">
        <v>42</v>
      </c>
      <c r="K44" s="118"/>
    </row>
    <row r="45" spans="1:11">
      <c r="A45" t="s">
        <v>91</v>
      </c>
      <c r="B45">
        <v>75.931656814656961</v>
      </c>
      <c r="C45" s="3">
        <v>4.4005045871559637E-2</v>
      </c>
      <c r="D45" s="3">
        <f t="shared" si="0"/>
        <v>0.11087460019490969</v>
      </c>
      <c r="E45" s="3">
        <v>6.2074600194909679E-2</v>
      </c>
      <c r="F45" s="3">
        <v>0.27</v>
      </c>
      <c r="G45" t="s">
        <v>49</v>
      </c>
      <c r="K45" s="118"/>
    </row>
    <row r="46" spans="1:11">
      <c r="A46" t="s">
        <v>92</v>
      </c>
      <c r="B46">
        <v>103.056619</v>
      </c>
      <c r="C46" s="3">
        <v>0.12238004587155965</v>
      </c>
      <c r="D46" s="3">
        <f t="shared" si="0"/>
        <v>0.22143230315643184</v>
      </c>
      <c r="E46" s="3">
        <v>0.17263230315643183</v>
      </c>
      <c r="F46" s="3">
        <v>0.25</v>
      </c>
      <c r="G46" t="s">
        <v>46</v>
      </c>
      <c r="K46" s="118"/>
    </row>
    <row r="47" spans="1:11">
      <c r="A47" t="s">
        <v>93</v>
      </c>
      <c r="B47">
        <v>235.37</v>
      </c>
      <c r="C47" s="3">
        <v>6.7301834862385335E-2</v>
      </c>
      <c r="D47" s="3">
        <f t="shared" si="0"/>
        <v>0.14373762382750893</v>
      </c>
      <c r="E47" s="3">
        <v>9.4937623827508935E-2</v>
      </c>
      <c r="F47" s="3">
        <v>0.22500000000000001</v>
      </c>
      <c r="G47" t="s">
        <v>44</v>
      </c>
      <c r="K47" s="118"/>
    </row>
    <row r="48" spans="1:11">
      <c r="A48" t="s">
        <v>94</v>
      </c>
      <c r="B48">
        <v>24.805439600000003</v>
      </c>
      <c r="C48" s="3">
        <v>0.12238004587155965</v>
      </c>
      <c r="D48" s="3">
        <f t="shared" si="0"/>
        <v>0.22143230315643184</v>
      </c>
      <c r="E48" s="3">
        <v>0.17263230315643183</v>
      </c>
      <c r="F48" s="3">
        <v>0.3</v>
      </c>
      <c r="G48" t="s">
        <v>46</v>
      </c>
      <c r="K48" s="118"/>
    </row>
    <row r="49" spans="1:11">
      <c r="A49" t="s">
        <v>95</v>
      </c>
      <c r="B49">
        <v>25.92107961233366</v>
      </c>
      <c r="C49" s="3">
        <v>8.6284403669724778E-3</v>
      </c>
      <c r="D49" s="3">
        <f t="shared" si="0"/>
        <v>6.0971490234296016E-2</v>
      </c>
      <c r="E49" s="3">
        <v>1.2171490234296015E-2</v>
      </c>
      <c r="F49" s="3">
        <v>0.2</v>
      </c>
      <c r="G49" t="s">
        <v>40</v>
      </c>
      <c r="K49" s="118"/>
    </row>
    <row r="50" spans="1:11">
      <c r="A50" t="s">
        <v>96</v>
      </c>
      <c r="B50">
        <v>80.561496133917188</v>
      </c>
      <c r="C50" s="3">
        <v>0.11015642201834862</v>
      </c>
      <c r="D50" s="3">
        <f t="shared" si="0"/>
        <v>0.20418935865784579</v>
      </c>
      <c r="E50" s="3">
        <v>0.15538935865784578</v>
      </c>
      <c r="F50" s="3">
        <v>0.3</v>
      </c>
      <c r="G50" t="s">
        <v>44</v>
      </c>
      <c r="K50" s="118"/>
    </row>
    <row r="51" spans="1:11">
      <c r="A51" t="s">
        <v>97</v>
      </c>
      <c r="B51">
        <v>5.0612027674294833</v>
      </c>
      <c r="C51" s="3">
        <v>5.5078211009174309E-2</v>
      </c>
      <c r="D51" s="3">
        <f t="shared" si="0"/>
        <v>0.12649467932892289</v>
      </c>
      <c r="E51" s="3">
        <v>7.7694679328922892E-2</v>
      </c>
      <c r="F51" s="3">
        <v>0.2</v>
      </c>
      <c r="G51" t="s">
        <v>57</v>
      </c>
      <c r="K51" s="118"/>
    </row>
    <row r="52" spans="1:11">
      <c r="A52" t="s">
        <v>98</v>
      </c>
      <c r="B52">
        <v>251.88488797276599</v>
      </c>
      <c r="C52" s="3">
        <v>4.8894495412844033E-3</v>
      </c>
      <c r="D52" s="3">
        <f t="shared" si="0"/>
        <v>5.5697177799434408E-2</v>
      </c>
      <c r="E52" s="3">
        <v>6.8971777994344076E-3</v>
      </c>
      <c r="F52" s="3">
        <v>0.2</v>
      </c>
      <c r="G52" t="s">
        <v>42</v>
      </c>
      <c r="K52" s="118"/>
    </row>
    <row r="53" spans="1:11">
      <c r="A53" t="s">
        <v>99</v>
      </c>
      <c r="B53">
        <v>2582.5013072164156</v>
      </c>
      <c r="C53" s="3">
        <v>6.0399082568807346E-3</v>
      </c>
      <c r="D53" s="3">
        <f t="shared" si="0"/>
        <v>5.7320043164007212E-2</v>
      </c>
      <c r="E53" s="3">
        <v>8.5200431640072103E-3</v>
      </c>
      <c r="F53" s="3">
        <v>0.25</v>
      </c>
      <c r="G53" t="s">
        <v>42</v>
      </c>
      <c r="K53" s="118"/>
    </row>
    <row r="54" spans="1:11">
      <c r="A54" t="s">
        <v>100</v>
      </c>
      <c r="B54">
        <v>14.622880885684218</v>
      </c>
      <c r="C54" s="3">
        <v>9.1749082568807344E-2</v>
      </c>
      <c r="D54" s="3">
        <f t="shared" si="0"/>
        <v>0.17822351282468096</v>
      </c>
      <c r="E54" s="3">
        <v>0.12942351282468095</v>
      </c>
      <c r="F54" s="3">
        <v>0.3</v>
      </c>
      <c r="G54" t="s">
        <v>44</v>
      </c>
      <c r="K54" s="118"/>
    </row>
    <row r="55" spans="1:11">
      <c r="A55" t="s">
        <v>101</v>
      </c>
      <c r="B55">
        <v>15.159281211396696</v>
      </c>
      <c r="C55" s="3">
        <v>3.6814678899082569E-2</v>
      </c>
      <c r="D55" s="3">
        <f t="shared" si="0"/>
        <v>0.10073169166632967</v>
      </c>
      <c r="E55" s="3">
        <v>5.193169166632966E-2</v>
      </c>
      <c r="F55" s="3">
        <v>0.15</v>
      </c>
      <c r="G55" t="s">
        <v>40</v>
      </c>
      <c r="K55" s="118"/>
    </row>
    <row r="56" spans="1:11">
      <c r="A56" t="s">
        <v>102</v>
      </c>
      <c r="B56">
        <v>3677.4391297766028</v>
      </c>
      <c r="C56" s="3">
        <v>0</v>
      </c>
      <c r="D56" s="3">
        <f t="shared" si="0"/>
        <v>4.8800000000000003E-2</v>
      </c>
      <c r="E56" s="3">
        <v>0</v>
      </c>
      <c r="F56" s="3">
        <v>0.3</v>
      </c>
      <c r="G56" t="s">
        <v>42</v>
      </c>
      <c r="K56" s="118"/>
    </row>
    <row r="57" spans="1:11">
      <c r="A57" t="s">
        <v>103</v>
      </c>
      <c r="B57">
        <v>47.330016342573444</v>
      </c>
      <c r="C57" s="3">
        <v>0.14682729357798166</v>
      </c>
      <c r="D57" s="3">
        <f t="shared" si="0"/>
        <v>0.25591819215360384</v>
      </c>
      <c r="E57" s="3">
        <v>0.20711819215360386</v>
      </c>
      <c r="F57" s="3">
        <v>0.25</v>
      </c>
      <c r="G57" t="s">
        <v>44</v>
      </c>
      <c r="K57" s="118"/>
    </row>
    <row r="58" spans="1:11">
      <c r="A58" t="s">
        <v>104</v>
      </c>
      <c r="B58">
        <v>200.28827712903825</v>
      </c>
      <c r="C58" s="3">
        <v>4.4005045871559637E-2</v>
      </c>
      <c r="D58" s="3">
        <f t="shared" si="0"/>
        <v>0.11087460019490969</v>
      </c>
      <c r="E58" s="3">
        <v>6.2074600194909679E-2</v>
      </c>
      <c r="F58" s="3">
        <v>0.22</v>
      </c>
      <c r="G58" t="s">
        <v>42</v>
      </c>
      <c r="K58" s="118"/>
    </row>
    <row r="59" spans="1:11">
      <c r="A59" t="s">
        <v>105</v>
      </c>
      <c r="B59">
        <v>75.620095537500504</v>
      </c>
      <c r="C59" s="3">
        <v>3.0630963302752296E-2</v>
      </c>
      <c r="D59" s="3">
        <f t="shared" si="0"/>
        <v>9.2008790331750856E-2</v>
      </c>
      <c r="E59" s="3">
        <v>4.3208790331750853E-2</v>
      </c>
      <c r="F59" s="3">
        <v>0.25</v>
      </c>
      <c r="G59" t="s">
        <v>46</v>
      </c>
      <c r="K59" s="118"/>
    </row>
    <row r="60" spans="1:11">
      <c r="A60" t="s">
        <v>106</v>
      </c>
      <c r="B60">
        <v>0.5</v>
      </c>
      <c r="C60" s="3">
        <v>0</v>
      </c>
      <c r="D60" s="3">
        <f t="shared" si="0"/>
        <v>4.8800000000000003E-2</v>
      </c>
      <c r="E60" s="3">
        <v>0</v>
      </c>
      <c r="F60" s="3">
        <v>0</v>
      </c>
      <c r="G60" t="s">
        <v>42</v>
      </c>
      <c r="K60" s="118"/>
    </row>
    <row r="61" spans="1:11">
      <c r="A61" t="s">
        <v>107</v>
      </c>
      <c r="B61">
        <v>22.97853289678163</v>
      </c>
      <c r="C61" s="3">
        <v>5.5078211009174309E-2</v>
      </c>
      <c r="D61" s="3">
        <f t="shared" si="0"/>
        <v>0.12649467932892289</v>
      </c>
      <c r="E61" s="3">
        <v>7.7694679328922892E-2</v>
      </c>
      <c r="F61" s="3">
        <v>0.25</v>
      </c>
      <c r="G61" t="s">
        <v>46</v>
      </c>
      <c r="K61" s="118"/>
    </row>
    <row r="62" spans="1:11">
      <c r="A62" t="s">
        <v>108</v>
      </c>
      <c r="B62">
        <v>341.45</v>
      </c>
      <c r="C62" s="3">
        <v>7.3341743119266058E-3</v>
      </c>
      <c r="D62" s="3">
        <f t="shared" si="0"/>
        <v>5.9145766699151614E-2</v>
      </c>
      <c r="E62" s="3">
        <v>1.0345766699151613E-2</v>
      </c>
      <c r="F62" s="3">
        <v>0.16500000000000001</v>
      </c>
      <c r="G62" t="s">
        <v>57</v>
      </c>
      <c r="K62" s="118"/>
    </row>
    <row r="63" spans="1:11">
      <c r="A63" t="s">
        <v>109</v>
      </c>
      <c r="B63">
        <v>139.13502975828999</v>
      </c>
      <c r="C63" s="3">
        <v>2.3296788990825688E-2</v>
      </c>
      <c r="D63" s="3">
        <f t="shared" si="0"/>
        <v>8.1663023632599238E-2</v>
      </c>
      <c r="E63" s="3">
        <v>3.2863023632599235E-2</v>
      </c>
      <c r="F63" s="3">
        <v>0.09</v>
      </c>
      <c r="G63" t="s">
        <v>40</v>
      </c>
      <c r="K63" s="118"/>
    </row>
    <row r="64" spans="1:11">
      <c r="A64" t="s">
        <v>110</v>
      </c>
      <c r="B64">
        <v>23.909289978586099</v>
      </c>
      <c r="C64" s="3">
        <v>1.0354128440366973E-2</v>
      </c>
      <c r="D64" s="3">
        <f t="shared" si="0"/>
        <v>6.3405788281155215E-2</v>
      </c>
      <c r="E64" s="3">
        <v>1.4605788281155217E-2</v>
      </c>
      <c r="F64" s="3">
        <v>0.2</v>
      </c>
      <c r="G64" t="s">
        <v>42</v>
      </c>
      <c r="K64" s="118"/>
    </row>
    <row r="65" spans="1:11">
      <c r="A65" t="s">
        <v>111</v>
      </c>
      <c r="B65">
        <v>2597.4911628976711</v>
      </c>
      <c r="C65" s="3">
        <v>2.6891972477064225E-2</v>
      </c>
      <c r="D65" s="3">
        <f t="shared" si="0"/>
        <v>8.6734477896889262E-2</v>
      </c>
      <c r="E65" s="3">
        <v>3.7934477896889252E-2</v>
      </c>
      <c r="F65" s="3">
        <v>0.3</v>
      </c>
      <c r="G65" t="s">
        <v>57</v>
      </c>
      <c r="K65" s="118"/>
    </row>
    <row r="66" spans="1:11">
      <c r="A66" t="s">
        <v>112</v>
      </c>
      <c r="B66">
        <v>1015.5390175365033</v>
      </c>
      <c r="C66" s="3">
        <v>2.3296788990825688E-2</v>
      </c>
      <c r="D66" s="3">
        <f t="shared" si="0"/>
        <v>8.1663023632599238E-2</v>
      </c>
      <c r="E66" s="3">
        <v>3.2863023632599235E-2</v>
      </c>
      <c r="F66" s="3">
        <v>0.22</v>
      </c>
      <c r="G66" t="s">
        <v>57</v>
      </c>
      <c r="K66" s="118"/>
    </row>
    <row r="67" spans="1:11">
      <c r="A67" t="s">
        <v>113</v>
      </c>
      <c r="B67">
        <v>197.71573604060913</v>
      </c>
      <c r="C67" s="3">
        <v>9.1749082568807344E-2</v>
      </c>
      <c r="D67" s="3">
        <f t="shared" si="0"/>
        <v>0.17822351282468096</v>
      </c>
      <c r="E67" s="3">
        <v>0.12942351282468095</v>
      </c>
      <c r="F67" s="3">
        <v>0.15</v>
      </c>
      <c r="G67" t="s">
        <v>38</v>
      </c>
      <c r="K67" s="118"/>
    </row>
    <row r="68" spans="1:11">
      <c r="A68" t="s">
        <v>114</v>
      </c>
      <c r="B68">
        <v>333.73076477318006</v>
      </c>
      <c r="C68" s="3">
        <v>8.6284403669724778E-3</v>
      </c>
      <c r="D68" s="3">
        <f t="shared" ref="D68:D131" si="1">$D$148+E68</f>
        <v>6.0971490234296016E-2</v>
      </c>
      <c r="E68" s="3">
        <v>1.2171490234296015E-2</v>
      </c>
      <c r="F68" s="3">
        <v>0.125</v>
      </c>
      <c r="G68" t="s">
        <v>42</v>
      </c>
      <c r="K68" s="118"/>
    </row>
    <row r="69" spans="1:11">
      <c r="A69" t="s">
        <v>115</v>
      </c>
      <c r="B69">
        <v>7.4</v>
      </c>
      <c r="C69" s="3">
        <v>7.3341743119266058E-3</v>
      </c>
      <c r="D69" s="3">
        <f t="shared" si="1"/>
        <v>5.9145766699151614E-2</v>
      </c>
      <c r="E69" s="3">
        <v>1.0345766699151613E-2</v>
      </c>
      <c r="F69" s="3">
        <v>0</v>
      </c>
      <c r="G69" t="s">
        <v>42</v>
      </c>
      <c r="K69" s="118"/>
    </row>
    <row r="70" spans="1:11">
      <c r="A70" t="s">
        <v>116</v>
      </c>
      <c r="B70">
        <v>350.85053782728062</v>
      </c>
      <c r="C70" s="3">
        <v>8.6284403669724778E-3</v>
      </c>
      <c r="D70" s="3">
        <f t="shared" si="1"/>
        <v>6.0971490234296016E-2</v>
      </c>
      <c r="E70" s="3">
        <v>1.2171490234296015E-2</v>
      </c>
      <c r="F70" s="3">
        <v>0.23</v>
      </c>
      <c r="G70" t="s">
        <v>38</v>
      </c>
      <c r="K70" s="118"/>
    </row>
    <row r="71" spans="1:11">
      <c r="A71" t="s">
        <v>117</v>
      </c>
      <c r="B71">
        <v>1934.7979374113268</v>
      </c>
      <c r="C71" s="3">
        <v>2.6891972477064225E-2</v>
      </c>
      <c r="D71" s="3">
        <f t="shared" si="1"/>
        <v>8.6734477896889262E-2</v>
      </c>
      <c r="E71" s="3">
        <v>3.7934477896889252E-2</v>
      </c>
      <c r="F71" s="3">
        <v>0.24</v>
      </c>
      <c r="G71" t="s">
        <v>42</v>
      </c>
      <c r="K71" s="118"/>
    </row>
    <row r="72" spans="1:11">
      <c r="A72" t="s">
        <v>118</v>
      </c>
      <c r="B72">
        <v>14.768134912417116</v>
      </c>
      <c r="C72" s="3">
        <v>6.7301834862385335E-2</v>
      </c>
      <c r="D72" s="3">
        <f t="shared" si="1"/>
        <v>0.14373762382750893</v>
      </c>
      <c r="E72" s="3">
        <v>9.4937623827508935E-2</v>
      </c>
      <c r="F72" s="3">
        <v>0.25</v>
      </c>
      <c r="G72" t="s">
        <v>49</v>
      </c>
      <c r="K72" s="118"/>
    </row>
    <row r="73" spans="1:11">
      <c r="A73" t="s">
        <v>119</v>
      </c>
      <c r="B73">
        <v>4872.1369455075865</v>
      </c>
      <c r="C73" s="3">
        <v>8.6284403669724778E-3</v>
      </c>
      <c r="D73" s="3">
        <f t="shared" si="1"/>
        <v>6.0971490234296016E-2</v>
      </c>
      <c r="E73" s="3">
        <v>1.2171490234296015E-2</v>
      </c>
      <c r="F73" s="3">
        <v>0.23200000000000001</v>
      </c>
      <c r="G73" t="s">
        <v>57</v>
      </c>
      <c r="K73" s="118"/>
    </row>
    <row r="74" spans="1:11">
      <c r="A74" t="s">
        <v>120</v>
      </c>
      <c r="B74">
        <v>1</v>
      </c>
      <c r="C74" s="3">
        <v>0</v>
      </c>
      <c r="D74" s="3">
        <f t="shared" si="1"/>
        <v>4.8800000000000003E-2</v>
      </c>
      <c r="E74" s="3">
        <v>0</v>
      </c>
      <c r="F74" s="3">
        <v>0</v>
      </c>
      <c r="G74" t="s">
        <v>42</v>
      </c>
      <c r="K74" s="118"/>
    </row>
    <row r="75" spans="1:11">
      <c r="A75" t="s">
        <v>121</v>
      </c>
      <c r="B75">
        <v>40.068308516275501</v>
      </c>
      <c r="C75" s="3">
        <v>5.5078211009174309E-2</v>
      </c>
      <c r="D75" s="3">
        <f t="shared" si="1"/>
        <v>0.12649467932892289</v>
      </c>
      <c r="E75" s="3">
        <v>7.7694679328922892E-2</v>
      </c>
      <c r="F75" s="3">
        <v>0.2</v>
      </c>
      <c r="G75" t="s">
        <v>38</v>
      </c>
      <c r="K75" s="118"/>
    </row>
    <row r="76" spans="1:11">
      <c r="A76" t="s">
        <v>122</v>
      </c>
      <c r="B76">
        <v>159.4069263591216</v>
      </c>
      <c r="C76" s="3">
        <v>2.3296788990825688E-2</v>
      </c>
      <c r="D76" s="3">
        <f t="shared" si="1"/>
        <v>8.1663023632599238E-2</v>
      </c>
      <c r="E76" s="3">
        <v>3.2863023632599235E-2</v>
      </c>
      <c r="F76" s="3">
        <v>0.2</v>
      </c>
      <c r="G76" t="s">
        <v>40</v>
      </c>
      <c r="K76" s="118"/>
    </row>
    <row r="77" spans="1:11">
      <c r="A77" t="s">
        <v>123</v>
      </c>
      <c r="B77">
        <v>74.938190654855816</v>
      </c>
      <c r="C77" s="3">
        <v>6.7301834862385335E-2</v>
      </c>
      <c r="D77" s="3">
        <f t="shared" si="1"/>
        <v>0.14373762382750893</v>
      </c>
      <c r="E77" s="3">
        <v>9.4937623827508935E-2</v>
      </c>
      <c r="F77" s="3">
        <v>0.3</v>
      </c>
      <c r="G77" t="s">
        <v>44</v>
      </c>
      <c r="K77" s="118"/>
    </row>
    <row r="78" spans="1:11">
      <c r="A78" t="s">
        <v>124</v>
      </c>
      <c r="B78">
        <v>1530.75</v>
      </c>
      <c r="C78" s="3">
        <v>6.0399082568807346E-3</v>
      </c>
      <c r="D78" s="3">
        <f t="shared" si="1"/>
        <v>5.7320043164007212E-2</v>
      </c>
      <c r="E78" s="3">
        <v>8.5200431640072103E-3</v>
      </c>
      <c r="F78" s="3">
        <v>0.25</v>
      </c>
      <c r="G78" t="s">
        <v>57</v>
      </c>
      <c r="K78" s="118"/>
    </row>
    <row r="79" spans="1:11">
      <c r="A79" t="s">
        <v>125</v>
      </c>
      <c r="B79">
        <v>120.12627761292451</v>
      </c>
      <c r="C79" s="3">
        <v>8.6284403669724778E-3</v>
      </c>
      <c r="D79" s="3">
        <f t="shared" si="1"/>
        <v>6.0971490234296016E-2</v>
      </c>
      <c r="E79" s="3">
        <v>1.2171490234296015E-2</v>
      </c>
      <c r="F79" s="3">
        <v>0.15</v>
      </c>
      <c r="G79" t="s">
        <v>38</v>
      </c>
      <c r="K79" s="118"/>
    </row>
    <row r="80" spans="1:11">
      <c r="A80" t="s">
        <v>126</v>
      </c>
      <c r="B80">
        <v>7.5647388360412213</v>
      </c>
      <c r="C80" s="3">
        <v>7.9525458715596339E-2</v>
      </c>
      <c r="D80" s="3">
        <f t="shared" si="1"/>
        <v>0.16098056832609495</v>
      </c>
      <c r="E80" s="3">
        <v>0.11218056832609494</v>
      </c>
      <c r="F80" s="3">
        <v>0.1</v>
      </c>
      <c r="G80" t="s">
        <v>40</v>
      </c>
      <c r="K80" s="118"/>
    </row>
    <row r="81" spans="1:11">
      <c r="A81" t="s">
        <v>127</v>
      </c>
      <c r="B81">
        <v>30.264454641800356</v>
      </c>
      <c r="C81" s="3">
        <v>1.4668348623853212E-2</v>
      </c>
      <c r="D81" s="3">
        <f t="shared" si="1"/>
        <v>6.9491533398303232E-2</v>
      </c>
      <c r="E81" s="3">
        <v>2.0691533398303225E-2</v>
      </c>
      <c r="F81" s="3">
        <v>0.2</v>
      </c>
      <c r="G81" t="s">
        <v>40</v>
      </c>
      <c r="K81" s="118"/>
    </row>
    <row r="82" spans="1:11">
      <c r="A82" t="s">
        <v>128</v>
      </c>
      <c r="B82">
        <v>51.844487742023212</v>
      </c>
      <c r="C82" s="3">
        <v>0.17499999999999999</v>
      </c>
      <c r="D82" s="3">
        <f t="shared" si="1"/>
        <v>0.29565930485826308</v>
      </c>
      <c r="E82" s="3">
        <v>0.2468593048582631</v>
      </c>
      <c r="F82" s="3">
        <v>0.17</v>
      </c>
      <c r="G82" t="s">
        <v>38</v>
      </c>
      <c r="K82" s="118"/>
    </row>
    <row r="83" spans="1:11">
      <c r="A83" t="s">
        <v>129</v>
      </c>
      <c r="B83">
        <v>6.7</v>
      </c>
      <c r="C83" s="3">
        <v>0</v>
      </c>
      <c r="D83" s="3">
        <f t="shared" si="1"/>
        <v>4.8800000000000003E-2</v>
      </c>
      <c r="E83" s="3">
        <v>0</v>
      </c>
      <c r="F83" s="3">
        <v>0.125</v>
      </c>
      <c r="G83" t="s">
        <v>42</v>
      </c>
      <c r="K83" s="118"/>
    </row>
    <row r="84" spans="1:11">
      <c r="A84" t="s">
        <v>130</v>
      </c>
      <c r="B84">
        <v>47.168303744132935</v>
      </c>
      <c r="C84" s="3">
        <v>1.0354128440366973E-2</v>
      </c>
      <c r="D84" s="3">
        <f t="shared" si="1"/>
        <v>6.3405788281155215E-2</v>
      </c>
      <c r="E84" s="3">
        <v>1.4605788281155217E-2</v>
      </c>
      <c r="F84" s="3">
        <v>0.15</v>
      </c>
      <c r="G84" t="s">
        <v>40</v>
      </c>
      <c r="K84" s="118"/>
    </row>
    <row r="85" spans="1:11">
      <c r="A85" t="s">
        <v>131</v>
      </c>
      <c r="B85">
        <v>62.404461274663575</v>
      </c>
      <c r="C85" s="3">
        <v>0</v>
      </c>
      <c r="D85" s="3">
        <f t="shared" si="1"/>
        <v>4.8800000000000003E-2</v>
      </c>
      <c r="E85" s="3">
        <v>0</v>
      </c>
      <c r="F85" s="3">
        <v>0.24940000000000001</v>
      </c>
      <c r="G85" t="s">
        <v>42</v>
      </c>
      <c r="K85" s="118"/>
    </row>
    <row r="86" spans="1:11">
      <c r="A86" t="s">
        <v>132</v>
      </c>
      <c r="B86">
        <v>62.404461274663575</v>
      </c>
      <c r="C86" s="3">
        <v>7.3341743119266058E-3</v>
      </c>
      <c r="D86" s="3">
        <f t="shared" si="1"/>
        <v>5.9145766699151614E-2</v>
      </c>
      <c r="E86" s="3">
        <v>1.0345766699151613E-2</v>
      </c>
      <c r="F86" s="3">
        <v>0.12</v>
      </c>
      <c r="G86" t="s">
        <v>57</v>
      </c>
      <c r="K86" s="118"/>
    </row>
    <row r="87" spans="1:11">
      <c r="A87" t="s">
        <v>133</v>
      </c>
      <c r="B87">
        <v>50.361201096436588</v>
      </c>
      <c r="C87" s="3">
        <v>4.4005045871559637E-2</v>
      </c>
      <c r="D87" s="3">
        <f t="shared" si="1"/>
        <v>0.11087460019490969</v>
      </c>
      <c r="E87" s="3">
        <v>6.2074600194909679E-2</v>
      </c>
      <c r="F87" s="3">
        <v>0.1</v>
      </c>
      <c r="G87" t="s">
        <v>40</v>
      </c>
      <c r="K87" s="118"/>
    </row>
    <row r="88" spans="1:11">
      <c r="A88" t="s">
        <v>134</v>
      </c>
      <c r="B88">
        <v>314.50027904380988</v>
      </c>
      <c r="C88" s="3">
        <v>1.4668348623853212E-2</v>
      </c>
      <c r="D88" s="3">
        <f t="shared" si="1"/>
        <v>6.9491533398303232E-2</v>
      </c>
      <c r="E88" s="3">
        <v>2.0691533398303225E-2</v>
      </c>
      <c r="F88" s="3">
        <v>0.24</v>
      </c>
      <c r="G88" t="s">
        <v>57</v>
      </c>
      <c r="K88" s="118"/>
    </row>
    <row r="89" spans="1:11">
      <c r="A89" t="s">
        <v>607</v>
      </c>
      <c r="B89">
        <v>4.5970833035069338</v>
      </c>
      <c r="C89" s="3">
        <v>9.1749082568807344E-2</v>
      </c>
      <c r="D89" s="3">
        <f t="shared" si="1"/>
        <v>0.17822351282468096</v>
      </c>
      <c r="E89" s="3">
        <v>0.12942351282468095</v>
      </c>
      <c r="F89" s="3"/>
      <c r="G89" t="s">
        <v>57</v>
      </c>
      <c r="K89" s="118"/>
    </row>
    <row r="90" spans="1:11">
      <c r="A90" t="s">
        <v>135</v>
      </c>
      <c r="B90">
        <v>12.5377507324769</v>
      </c>
      <c r="C90" s="3">
        <v>1.0354128440366973E-2</v>
      </c>
      <c r="D90" s="3">
        <f t="shared" si="1"/>
        <v>6.3405788281155215E-2</v>
      </c>
      <c r="E90" s="3">
        <v>1.4605788281155217E-2</v>
      </c>
      <c r="F90" s="3">
        <v>0.35</v>
      </c>
      <c r="G90" t="s">
        <v>42</v>
      </c>
      <c r="K90" s="118"/>
    </row>
    <row r="91" spans="1:11">
      <c r="A91" t="s">
        <v>136</v>
      </c>
      <c r="B91">
        <v>13.338147523012408</v>
      </c>
      <c r="C91" s="3">
        <v>2.6891972477064225E-2</v>
      </c>
      <c r="D91" s="3">
        <f t="shared" si="1"/>
        <v>8.6734477896889262E-2</v>
      </c>
      <c r="E91" s="3">
        <v>3.7934477896889252E-2</v>
      </c>
      <c r="F91" s="3">
        <v>0.15</v>
      </c>
      <c r="G91" t="s">
        <v>57</v>
      </c>
      <c r="K91" s="118"/>
    </row>
    <row r="92" spans="1:11">
      <c r="A92" t="s">
        <v>137</v>
      </c>
      <c r="B92">
        <v>1149.9187947657313</v>
      </c>
      <c r="C92" s="3">
        <v>2.3296788990825688E-2</v>
      </c>
      <c r="D92" s="3">
        <f t="shared" si="1"/>
        <v>8.1663023632599238E-2</v>
      </c>
      <c r="E92" s="3">
        <v>3.2863023632599235E-2</v>
      </c>
      <c r="F92" s="3">
        <v>0.3</v>
      </c>
      <c r="G92" t="s">
        <v>46</v>
      </c>
      <c r="K92" s="118"/>
    </row>
    <row r="93" spans="1:11">
      <c r="A93" t="s">
        <v>138</v>
      </c>
      <c r="B93">
        <v>8.1284934320774092</v>
      </c>
      <c r="C93" s="3">
        <v>7.9525458715596339E-2</v>
      </c>
      <c r="D93" s="3">
        <f t="shared" si="1"/>
        <v>0.16098056832609495</v>
      </c>
      <c r="E93" s="3">
        <v>0.11218056832609494</v>
      </c>
      <c r="F93" s="3">
        <v>0.12</v>
      </c>
      <c r="G93" t="s">
        <v>40</v>
      </c>
      <c r="K93" s="118"/>
    </row>
    <row r="94" spans="1:11">
      <c r="A94" t="s">
        <v>139</v>
      </c>
      <c r="B94">
        <v>11.48804688104307</v>
      </c>
      <c r="C94" s="3">
        <v>7.9525458715596339E-2</v>
      </c>
      <c r="D94" s="3">
        <f t="shared" si="1"/>
        <v>0.16098056832609495</v>
      </c>
      <c r="E94" s="3">
        <v>0.11218056832609494</v>
      </c>
      <c r="F94" s="3">
        <v>0.25</v>
      </c>
      <c r="G94" t="s">
        <v>57</v>
      </c>
      <c r="K94" s="118"/>
    </row>
    <row r="95" spans="1:11">
      <c r="A95" t="s">
        <v>140</v>
      </c>
      <c r="B95">
        <v>4.7740860942077994</v>
      </c>
      <c r="C95" s="3">
        <v>5.5078211009174309E-2</v>
      </c>
      <c r="D95" s="3">
        <f t="shared" si="1"/>
        <v>0.12649467932892289</v>
      </c>
      <c r="E95" s="3">
        <v>7.7694679328922892E-2</v>
      </c>
      <c r="F95" s="3">
        <v>0.15</v>
      </c>
      <c r="G95" t="s">
        <v>40</v>
      </c>
      <c r="K95" s="118"/>
    </row>
    <row r="96" spans="1:11">
      <c r="A96" t="s">
        <v>141</v>
      </c>
      <c r="B96">
        <v>1.5</v>
      </c>
      <c r="C96" s="3">
        <v>2.6891972477064225E-2</v>
      </c>
      <c r="D96" s="3">
        <f t="shared" si="1"/>
        <v>8.6734477896889262E-2</v>
      </c>
      <c r="E96" s="3">
        <v>3.7934477896889252E-2</v>
      </c>
      <c r="F96" s="3"/>
      <c r="G96" t="s">
        <v>49</v>
      </c>
      <c r="K96" s="118"/>
    </row>
    <row r="97" spans="1:11">
      <c r="A97" t="s">
        <v>142</v>
      </c>
      <c r="B97">
        <v>109.13948400742879</v>
      </c>
      <c r="C97" s="3">
        <v>3.0630963302752296E-2</v>
      </c>
      <c r="D97" s="3">
        <f t="shared" si="1"/>
        <v>9.2008790331750856E-2</v>
      </c>
      <c r="E97" s="3">
        <v>4.3208790331750853E-2</v>
      </c>
      <c r="F97" s="3">
        <v>0.31</v>
      </c>
      <c r="G97" t="s">
        <v>44</v>
      </c>
      <c r="K97" s="118"/>
    </row>
    <row r="98" spans="1:11">
      <c r="A98" t="s">
        <v>143</v>
      </c>
      <c r="B98">
        <v>12.333859926276988</v>
      </c>
      <c r="C98" s="3">
        <v>0.11015642201834862</v>
      </c>
      <c r="D98" s="3">
        <f t="shared" si="1"/>
        <v>0.20418935865784579</v>
      </c>
      <c r="E98" s="3">
        <v>0.15538935865784578</v>
      </c>
      <c r="F98" s="3">
        <v>0.32</v>
      </c>
      <c r="G98" t="s">
        <v>44</v>
      </c>
      <c r="K98" s="118"/>
    </row>
    <row r="99" spans="1:11">
      <c r="A99" t="s">
        <v>144</v>
      </c>
      <c r="B99">
        <v>13.244597345431874</v>
      </c>
      <c r="C99" s="3">
        <v>5.5078211009174309E-2</v>
      </c>
      <c r="D99" s="3">
        <f t="shared" si="1"/>
        <v>0.12649467932892289</v>
      </c>
      <c r="E99" s="3">
        <v>7.7694679328922892E-2</v>
      </c>
      <c r="F99" s="3">
        <v>0.32</v>
      </c>
      <c r="G99" t="s">
        <v>44</v>
      </c>
      <c r="K99" s="118"/>
    </row>
    <row r="100" spans="1:11">
      <c r="A100" t="s">
        <v>145</v>
      </c>
      <c r="B100">
        <v>826.20028250112694</v>
      </c>
      <c r="C100" s="3">
        <v>0</v>
      </c>
      <c r="D100" s="3">
        <f t="shared" si="1"/>
        <v>4.8800000000000003E-2</v>
      </c>
      <c r="E100" s="3">
        <v>0</v>
      </c>
      <c r="F100" s="3">
        <v>0.25800000000000001</v>
      </c>
      <c r="G100" t="s">
        <v>42</v>
      </c>
      <c r="K100" s="118"/>
    </row>
    <row r="101" spans="1:11">
      <c r="A101" t="s">
        <v>146</v>
      </c>
      <c r="B101">
        <v>205.85283825471217</v>
      </c>
      <c r="C101" s="3">
        <v>0</v>
      </c>
      <c r="D101" s="3">
        <f t="shared" si="1"/>
        <v>4.8800000000000003E-2</v>
      </c>
      <c r="E101" s="3">
        <v>0</v>
      </c>
      <c r="F101" s="3">
        <v>0.28000000000000003</v>
      </c>
      <c r="G101" t="s">
        <v>51</v>
      </c>
      <c r="K101" s="118"/>
    </row>
    <row r="102" spans="1:11">
      <c r="A102" t="s">
        <v>147</v>
      </c>
      <c r="B102">
        <v>13.814261535543384</v>
      </c>
      <c r="C102" s="3">
        <v>7.9525458715596339E-2</v>
      </c>
      <c r="D102" s="3">
        <f t="shared" si="1"/>
        <v>0.16098056832609495</v>
      </c>
      <c r="E102" s="3">
        <v>0.11218056832609494</v>
      </c>
      <c r="F102" s="3">
        <v>0.3</v>
      </c>
      <c r="G102" t="s">
        <v>46</v>
      </c>
      <c r="K102" s="118"/>
    </row>
    <row r="103" spans="1:11">
      <c r="A103" t="s">
        <v>148</v>
      </c>
      <c r="B103">
        <v>375.77071374276341</v>
      </c>
      <c r="C103" s="3">
        <v>7.9525458715596339E-2</v>
      </c>
      <c r="D103" s="3">
        <f t="shared" si="1"/>
        <v>0.16098056832609495</v>
      </c>
      <c r="E103" s="3">
        <v>0.11218056832609494</v>
      </c>
      <c r="F103" s="3">
        <v>0.3</v>
      </c>
      <c r="G103" t="s">
        <v>44</v>
      </c>
      <c r="K103" s="118"/>
    </row>
    <row r="104" spans="1:11">
      <c r="A104" t="s">
        <v>149</v>
      </c>
      <c r="B104">
        <v>398.83195647793656</v>
      </c>
      <c r="C104" s="3">
        <v>0</v>
      </c>
      <c r="D104" s="3">
        <f t="shared" si="1"/>
        <v>4.8800000000000003E-2</v>
      </c>
      <c r="E104" s="3">
        <v>0</v>
      </c>
      <c r="F104" s="3">
        <v>0.22</v>
      </c>
      <c r="G104" t="s">
        <v>42</v>
      </c>
      <c r="K104" s="118"/>
    </row>
    <row r="105" spans="1:11">
      <c r="A105" t="s">
        <v>150</v>
      </c>
      <c r="B105">
        <v>72.642652795838742</v>
      </c>
      <c r="C105" s="3">
        <v>4.4005045871559637E-2</v>
      </c>
      <c r="D105" s="3">
        <f t="shared" si="1"/>
        <v>0.11087460019490969</v>
      </c>
      <c r="E105" s="3">
        <v>6.2074600194909679E-2</v>
      </c>
      <c r="F105" s="3">
        <v>0.15</v>
      </c>
      <c r="G105" t="s">
        <v>38</v>
      </c>
      <c r="K105" s="118"/>
    </row>
    <row r="106" spans="1:11">
      <c r="A106" t="s">
        <v>151</v>
      </c>
      <c r="B106">
        <v>304.95181849406555</v>
      </c>
      <c r="C106" s="3">
        <v>9.1749082568807344E-2</v>
      </c>
      <c r="D106" s="3">
        <f t="shared" si="1"/>
        <v>0.17822351282468096</v>
      </c>
      <c r="E106" s="3">
        <v>0.12942351282468095</v>
      </c>
      <c r="F106" s="3">
        <v>0.28999999999999998</v>
      </c>
      <c r="G106" t="s">
        <v>57</v>
      </c>
      <c r="K106" s="118"/>
    </row>
    <row r="107" spans="1:11">
      <c r="A107" t="s">
        <v>152</v>
      </c>
      <c r="B107">
        <v>61.838175799999995</v>
      </c>
      <c r="C107" s="3">
        <v>2.3296788990825688E-2</v>
      </c>
      <c r="D107" s="3">
        <f t="shared" si="1"/>
        <v>8.1663023632599238E-2</v>
      </c>
      <c r="E107" s="3">
        <v>3.2863023632599235E-2</v>
      </c>
      <c r="F107" s="3">
        <v>0.25</v>
      </c>
      <c r="G107" t="s">
        <v>46</v>
      </c>
      <c r="K107" s="118"/>
    </row>
    <row r="108" spans="1:11">
      <c r="A108" t="s">
        <v>153</v>
      </c>
      <c r="B108">
        <v>21.088758484748524</v>
      </c>
      <c r="C108" s="3">
        <v>6.7301834862385335E-2</v>
      </c>
      <c r="D108" s="3">
        <f t="shared" si="1"/>
        <v>0.14373762382750893</v>
      </c>
      <c r="E108" s="3">
        <v>9.4937623827508935E-2</v>
      </c>
      <c r="F108" s="3">
        <v>0.3</v>
      </c>
      <c r="G108" t="s">
        <v>57</v>
      </c>
      <c r="K108" s="118"/>
    </row>
    <row r="109" spans="1:11">
      <c r="A109" t="s">
        <v>154</v>
      </c>
      <c r="B109">
        <v>29.7348952489053</v>
      </c>
      <c r="C109" s="3">
        <v>3.0630963302752296E-2</v>
      </c>
      <c r="D109" s="3">
        <f t="shared" si="1"/>
        <v>9.2008790331750856E-2</v>
      </c>
      <c r="E109" s="3">
        <v>4.3208790331750853E-2</v>
      </c>
      <c r="F109" s="3">
        <v>0.1</v>
      </c>
      <c r="G109" t="s">
        <v>46</v>
      </c>
      <c r="K109" s="118"/>
    </row>
    <row r="110" spans="1:11">
      <c r="A110" t="s">
        <v>155</v>
      </c>
      <c r="B110">
        <v>211.38927224215658</v>
      </c>
      <c r="C110" s="3">
        <v>1.9557798165137613E-2</v>
      </c>
      <c r="D110" s="3">
        <f t="shared" si="1"/>
        <v>7.638871119773763E-2</v>
      </c>
      <c r="E110" s="3">
        <v>2.758871119773763E-2</v>
      </c>
      <c r="F110" s="3">
        <v>0.29499999999999998</v>
      </c>
      <c r="G110" t="s">
        <v>46</v>
      </c>
      <c r="K110" s="118"/>
    </row>
    <row r="111" spans="1:11">
      <c r="A111" t="s">
        <v>156</v>
      </c>
      <c r="B111">
        <v>313.59520873726927</v>
      </c>
      <c r="C111" s="3">
        <v>2.3296788990825688E-2</v>
      </c>
      <c r="D111" s="3">
        <f t="shared" si="1"/>
        <v>8.1663023632599238E-2</v>
      </c>
      <c r="E111" s="3">
        <v>3.2863023632599235E-2</v>
      </c>
      <c r="F111" s="3">
        <v>0.25</v>
      </c>
      <c r="G111" t="s">
        <v>57</v>
      </c>
      <c r="K111" s="118"/>
    </row>
    <row r="112" spans="1:11">
      <c r="A112" t="s">
        <v>157</v>
      </c>
      <c r="B112">
        <v>524.5095652634086</v>
      </c>
      <c r="C112" s="3">
        <v>1.0354128440366973E-2</v>
      </c>
      <c r="D112" s="3">
        <f t="shared" si="1"/>
        <v>6.3405788281155215E-2</v>
      </c>
      <c r="E112" s="3">
        <v>1.4605788281155217E-2</v>
      </c>
      <c r="F112" s="3">
        <v>0.19</v>
      </c>
      <c r="G112" t="s">
        <v>40</v>
      </c>
      <c r="K112" s="118"/>
    </row>
    <row r="113" spans="1:11">
      <c r="A113" t="s">
        <v>158</v>
      </c>
      <c r="B113">
        <v>217.57108304599035</v>
      </c>
      <c r="C113" s="3">
        <v>2.3296788990825688E-2</v>
      </c>
      <c r="D113" s="3">
        <f t="shared" si="1"/>
        <v>8.1663023632599238E-2</v>
      </c>
      <c r="E113" s="3">
        <v>3.2863023632599235E-2</v>
      </c>
      <c r="F113" s="3">
        <v>0.21</v>
      </c>
      <c r="G113" t="s">
        <v>42</v>
      </c>
      <c r="K113" s="118"/>
    </row>
    <row r="114" spans="1:11">
      <c r="A114" t="s">
        <v>159</v>
      </c>
      <c r="B114">
        <v>167.60521978021978</v>
      </c>
      <c r="C114" s="3">
        <v>7.3341743119266058E-3</v>
      </c>
      <c r="D114" s="3">
        <f t="shared" si="1"/>
        <v>5.9145766699151614E-2</v>
      </c>
      <c r="E114" s="3">
        <v>1.0345766699151613E-2</v>
      </c>
      <c r="F114" s="3">
        <v>0.1</v>
      </c>
      <c r="G114" t="s">
        <v>38</v>
      </c>
      <c r="K114" s="118"/>
    </row>
    <row r="115" spans="1:11">
      <c r="A115" t="s">
        <v>591</v>
      </c>
      <c r="B115">
        <v>5.2</v>
      </c>
      <c r="C115" s="3">
        <v>1.4668348623853212E-2</v>
      </c>
      <c r="D115" s="3">
        <f t="shared" si="1"/>
        <v>6.9491533398303232E-2</v>
      </c>
      <c r="E115" s="3">
        <v>2.0691533398303225E-2</v>
      </c>
      <c r="F115" s="3"/>
      <c r="G115" t="s">
        <v>38</v>
      </c>
      <c r="K115" s="118"/>
    </row>
    <row r="116" spans="1:11">
      <c r="A116" t="s">
        <v>162</v>
      </c>
      <c r="B116">
        <v>211.80328192473783</v>
      </c>
      <c r="C116" s="3">
        <v>2.6891972477064225E-2</v>
      </c>
      <c r="D116" s="3">
        <f t="shared" si="1"/>
        <v>8.6734477896889262E-2</v>
      </c>
      <c r="E116" s="3">
        <v>3.7934477896889252E-2</v>
      </c>
      <c r="F116" s="3">
        <v>0.16</v>
      </c>
      <c r="G116" t="s">
        <v>40</v>
      </c>
      <c r="K116" s="118"/>
    </row>
    <row r="117" spans="1:11">
      <c r="A117" t="s">
        <v>163</v>
      </c>
      <c r="B117">
        <v>1577.5241459631695</v>
      </c>
      <c r="C117" s="3">
        <v>9.1749082568807344E-2</v>
      </c>
      <c r="D117" s="3">
        <f t="shared" si="1"/>
        <v>0.17822351282468096</v>
      </c>
      <c r="E117" s="3">
        <v>0.12942351282468095</v>
      </c>
      <c r="F117" s="3">
        <v>0.2</v>
      </c>
      <c r="G117" t="s">
        <v>40</v>
      </c>
      <c r="K117" s="118"/>
    </row>
    <row r="118" spans="1:11">
      <c r="A118" t="s">
        <v>164</v>
      </c>
      <c r="B118">
        <v>9.1366895140947939</v>
      </c>
      <c r="C118" s="3">
        <v>6.7301834862385335E-2</v>
      </c>
      <c r="D118" s="3">
        <f t="shared" si="1"/>
        <v>0.14373762382750893</v>
      </c>
      <c r="E118" s="3">
        <v>9.4937623827508935E-2</v>
      </c>
      <c r="F118" s="3">
        <v>0.3</v>
      </c>
      <c r="G118" t="s">
        <v>44</v>
      </c>
      <c r="K118" s="118"/>
    </row>
    <row r="119" spans="1:11">
      <c r="A119" t="s">
        <v>165</v>
      </c>
      <c r="B119">
        <v>683.82714428853603</v>
      </c>
      <c r="C119" s="3">
        <v>8.6284403669724778E-3</v>
      </c>
      <c r="D119" s="3">
        <f t="shared" si="1"/>
        <v>6.0971490234296016E-2</v>
      </c>
      <c r="E119" s="3">
        <v>1.2171490234296015E-2</v>
      </c>
      <c r="F119" s="3">
        <v>0.2</v>
      </c>
      <c r="G119" t="s">
        <v>38</v>
      </c>
      <c r="K119" s="118"/>
    </row>
    <row r="120" spans="1:11">
      <c r="A120" t="s">
        <v>166</v>
      </c>
      <c r="B120">
        <v>16.374743753473073</v>
      </c>
      <c r="C120" s="3">
        <v>4.4005045871559637E-2</v>
      </c>
      <c r="D120" s="3">
        <f t="shared" si="1"/>
        <v>0.11087460019490969</v>
      </c>
      <c r="E120" s="3">
        <v>6.2074600194909679E-2</v>
      </c>
      <c r="F120" s="3">
        <v>0.3</v>
      </c>
      <c r="G120" t="s">
        <v>44</v>
      </c>
      <c r="K120" s="118"/>
    </row>
    <row r="121" spans="1:11">
      <c r="A121" t="s">
        <v>167</v>
      </c>
      <c r="B121">
        <v>41.431648801166318</v>
      </c>
      <c r="C121" s="3">
        <v>3.6814678899082569E-2</v>
      </c>
      <c r="D121" s="3">
        <f t="shared" si="1"/>
        <v>0.10073169166632967</v>
      </c>
      <c r="E121" s="3">
        <v>5.193169166632966E-2</v>
      </c>
      <c r="F121" s="3">
        <v>0.15</v>
      </c>
      <c r="G121" t="s">
        <v>40</v>
      </c>
      <c r="K121" s="118"/>
    </row>
    <row r="122" spans="1:11">
      <c r="A122" t="s">
        <v>168</v>
      </c>
      <c r="B122">
        <v>5</v>
      </c>
      <c r="C122" s="3">
        <v>3.0630963302752296E-2</v>
      </c>
      <c r="D122" s="3">
        <f t="shared" si="1"/>
        <v>9.2008790331750856E-2</v>
      </c>
      <c r="E122" s="3">
        <v>4.3208790331750853E-2</v>
      </c>
      <c r="F122" s="3"/>
      <c r="G122" t="s">
        <v>38</v>
      </c>
      <c r="K122" s="118"/>
    </row>
    <row r="123" spans="1:11">
      <c r="A123" t="s">
        <v>169</v>
      </c>
      <c r="B123">
        <v>323.90723441233979</v>
      </c>
      <c r="C123" s="3">
        <v>0</v>
      </c>
      <c r="D123" s="3">
        <f t="shared" si="1"/>
        <v>4.8800000000000003E-2</v>
      </c>
      <c r="E123" s="3">
        <v>0</v>
      </c>
      <c r="F123" s="3">
        <v>0.17</v>
      </c>
      <c r="G123" t="s">
        <v>57</v>
      </c>
      <c r="K123" s="118"/>
    </row>
    <row r="124" spans="1:11">
      <c r="A124" t="s">
        <v>170</v>
      </c>
      <c r="B124">
        <v>95.769031980136219</v>
      </c>
      <c r="C124" s="3">
        <v>1.0354128440366973E-2</v>
      </c>
      <c r="D124" s="3">
        <f t="shared" si="1"/>
        <v>6.3405788281155215E-2</v>
      </c>
      <c r="E124" s="3">
        <v>1.4605788281155217E-2</v>
      </c>
      <c r="F124" s="3">
        <v>0.21</v>
      </c>
      <c r="G124" t="s">
        <v>40</v>
      </c>
      <c r="K124" s="118"/>
    </row>
    <row r="125" spans="1:11">
      <c r="A125" t="s">
        <v>171</v>
      </c>
      <c r="B125">
        <v>48.769655479238807</v>
      </c>
      <c r="C125" s="3">
        <v>1.4668348623853212E-2</v>
      </c>
      <c r="D125" s="3">
        <f t="shared" si="1"/>
        <v>6.9491533398303232E-2</v>
      </c>
      <c r="E125" s="3">
        <v>2.0691533398303225E-2</v>
      </c>
      <c r="F125" s="3">
        <v>0.19</v>
      </c>
      <c r="G125" t="s">
        <v>40</v>
      </c>
      <c r="K125" s="118"/>
    </row>
    <row r="126" spans="1:11">
      <c r="A126" t="s">
        <v>608</v>
      </c>
      <c r="B126">
        <v>1.3034536161197352</v>
      </c>
      <c r="C126" s="3">
        <v>9.1749082568807344E-2</v>
      </c>
      <c r="D126" s="3">
        <f t="shared" si="1"/>
        <v>0.17822351282468096</v>
      </c>
      <c r="E126" s="3">
        <v>0.12942351282468095</v>
      </c>
      <c r="F126" s="3">
        <v>0.3</v>
      </c>
      <c r="G126" t="s">
        <v>57</v>
      </c>
      <c r="K126" s="118"/>
    </row>
    <row r="127" spans="1:11">
      <c r="A127" t="s">
        <v>172</v>
      </c>
      <c r="B127">
        <v>349.41934361408858</v>
      </c>
      <c r="C127" s="3">
        <v>3.6814678899082569E-2</v>
      </c>
      <c r="D127" s="3">
        <f t="shared" si="1"/>
        <v>0.10073169166632967</v>
      </c>
      <c r="E127" s="3">
        <v>5.193169166632966E-2</v>
      </c>
      <c r="F127" s="3">
        <v>0.27</v>
      </c>
      <c r="G127" t="s">
        <v>44</v>
      </c>
      <c r="K127" s="118"/>
    </row>
    <row r="128" spans="1:11">
      <c r="A128" t="s">
        <v>173</v>
      </c>
      <c r="B128">
        <v>1311.3200155159884</v>
      </c>
      <c r="C128" s="3">
        <v>1.9557798165137613E-2</v>
      </c>
      <c r="D128" s="3">
        <f t="shared" si="1"/>
        <v>7.638871119773763E-2</v>
      </c>
      <c r="E128" s="3">
        <v>2.758871119773763E-2</v>
      </c>
      <c r="F128" s="3">
        <v>0.25</v>
      </c>
      <c r="G128" t="s">
        <v>42</v>
      </c>
      <c r="K128" s="118"/>
    </row>
    <row r="129" spans="1:11">
      <c r="A129" t="s">
        <v>174</v>
      </c>
      <c r="B129">
        <v>87.1746822004324</v>
      </c>
      <c r="C129" s="3">
        <v>0.14682729357798166</v>
      </c>
      <c r="D129" s="3">
        <f t="shared" si="1"/>
        <v>0.25591819215360384</v>
      </c>
      <c r="E129" s="3">
        <v>0.20711819215360386</v>
      </c>
      <c r="F129" s="3">
        <v>0.24</v>
      </c>
      <c r="G129" t="s">
        <v>57</v>
      </c>
      <c r="K129" s="118"/>
    </row>
    <row r="130" spans="1:11">
      <c r="A130" t="s">
        <v>175</v>
      </c>
      <c r="B130">
        <v>1.5</v>
      </c>
      <c r="C130" s="3">
        <v>3.6814678899082569E-2</v>
      </c>
      <c r="D130" s="3">
        <f t="shared" si="1"/>
        <v>0.10073169166632967</v>
      </c>
      <c r="E130" s="3">
        <v>5.193169166632966E-2</v>
      </c>
      <c r="F130" s="3">
        <v>0.35</v>
      </c>
      <c r="G130" t="s">
        <v>49</v>
      </c>
      <c r="K130" s="118"/>
    </row>
    <row r="131" spans="1:11">
      <c r="A131" t="s">
        <v>176</v>
      </c>
      <c r="B131">
        <v>0.77</v>
      </c>
      <c r="C131" s="3">
        <v>7.9525458715596339E-2</v>
      </c>
      <c r="D131" s="3">
        <f t="shared" si="1"/>
        <v>0.16098056832609495</v>
      </c>
      <c r="E131" s="3">
        <v>0.11218056832609494</v>
      </c>
      <c r="F131" s="3"/>
      <c r="G131" t="s">
        <v>49</v>
      </c>
      <c r="K131" s="118"/>
    </row>
    <row r="132" spans="1:11">
      <c r="A132" t="s">
        <v>177</v>
      </c>
      <c r="B132">
        <v>3.3243853252667708</v>
      </c>
      <c r="C132" s="3">
        <v>0.12238004587155965</v>
      </c>
      <c r="D132" s="3">
        <f t="shared" ref="D132:D147" si="2">$D$148+E132</f>
        <v>0.22143230315643184</v>
      </c>
      <c r="E132" s="3">
        <v>0.17263230315643183</v>
      </c>
      <c r="F132" s="3">
        <v>0.36</v>
      </c>
      <c r="G132" t="s">
        <v>46</v>
      </c>
      <c r="K132" s="118"/>
    </row>
    <row r="133" spans="1:11">
      <c r="A133" t="s">
        <v>178</v>
      </c>
      <c r="B133">
        <v>3.72</v>
      </c>
      <c r="C133" s="3">
        <v>7.9525458715596339E-2</v>
      </c>
      <c r="D133" s="3">
        <f t="shared" si="2"/>
        <v>0.16098056832609495</v>
      </c>
      <c r="E133" s="3">
        <v>0.11218056832609494</v>
      </c>
      <c r="F133" s="3">
        <v>0.27500000000000002</v>
      </c>
      <c r="G133" t="s">
        <v>44</v>
      </c>
      <c r="K133" s="118"/>
    </row>
    <row r="134" spans="1:11">
      <c r="A134" t="s">
        <v>179</v>
      </c>
      <c r="B134">
        <v>538.04045821699651</v>
      </c>
      <c r="C134" s="3">
        <v>0</v>
      </c>
      <c r="D134" s="3">
        <f t="shared" si="2"/>
        <v>4.8800000000000003E-2</v>
      </c>
      <c r="E134" s="3">
        <v>0</v>
      </c>
      <c r="F134" s="3">
        <v>0.20599999999999999</v>
      </c>
      <c r="G134" t="s">
        <v>42</v>
      </c>
      <c r="K134" s="118"/>
    </row>
    <row r="135" spans="1:11">
      <c r="A135" t="s">
        <v>180</v>
      </c>
      <c r="B135">
        <v>678.88733684825183</v>
      </c>
      <c r="C135" s="3">
        <v>0</v>
      </c>
      <c r="D135" s="3">
        <f t="shared" si="2"/>
        <v>4.8800000000000003E-2</v>
      </c>
      <c r="E135" s="3">
        <v>0</v>
      </c>
      <c r="F135" s="3">
        <v>0.18</v>
      </c>
      <c r="G135" t="s">
        <v>42</v>
      </c>
      <c r="K135" s="118"/>
    </row>
    <row r="136" spans="1:11">
      <c r="A136" t="s">
        <v>181</v>
      </c>
      <c r="B136">
        <v>970.9</v>
      </c>
      <c r="C136" s="3">
        <v>7.3341743119266058E-3</v>
      </c>
      <c r="D136" s="3">
        <f t="shared" si="2"/>
        <v>5.9145766699151614E-2</v>
      </c>
      <c r="E136" s="3">
        <v>1.0345766699151613E-2</v>
      </c>
      <c r="F136" s="3">
        <v>0.2</v>
      </c>
      <c r="G136" t="s">
        <v>57</v>
      </c>
      <c r="K136" s="118"/>
    </row>
    <row r="137" spans="1:11">
      <c r="A137" t="s">
        <v>182</v>
      </c>
      <c r="B137">
        <v>7.1457010187491958</v>
      </c>
      <c r="C137" s="3">
        <v>7.9525458715596339E-2</v>
      </c>
      <c r="D137" s="3">
        <f t="shared" si="2"/>
        <v>0.16098056832609495</v>
      </c>
      <c r="E137" s="3">
        <v>0.11218056832609494</v>
      </c>
      <c r="F137" s="3"/>
      <c r="G137" t="s">
        <v>40</v>
      </c>
      <c r="K137" s="118"/>
    </row>
    <row r="138" spans="1:11">
      <c r="A138" t="s">
        <v>609</v>
      </c>
      <c r="B138">
        <v>52.090320325473591</v>
      </c>
      <c r="C138" s="3">
        <v>6.7301834862385335E-2</v>
      </c>
      <c r="D138" s="3">
        <f t="shared" si="2"/>
        <v>0.14373762382750893</v>
      </c>
      <c r="E138" s="3">
        <v>9.4937623827508935E-2</v>
      </c>
      <c r="F138" s="3"/>
      <c r="G138" t="s">
        <v>44</v>
      </c>
      <c r="K138" s="118"/>
    </row>
    <row r="139" spans="1:11">
      <c r="A139" t="s">
        <v>183</v>
      </c>
      <c r="B139">
        <v>455.22092057112889</v>
      </c>
      <c r="C139" s="3">
        <v>1.9557798165137613E-2</v>
      </c>
      <c r="D139" s="3">
        <f t="shared" si="2"/>
        <v>7.638871119773763E-2</v>
      </c>
      <c r="E139" s="3">
        <v>2.758871119773763E-2</v>
      </c>
      <c r="F139" s="3">
        <v>0.2</v>
      </c>
      <c r="G139" t="s">
        <v>57</v>
      </c>
      <c r="K139" s="118"/>
    </row>
    <row r="140" spans="1:11">
      <c r="A140" t="s">
        <v>184</v>
      </c>
      <c r="B140">
        <v>22.104775828460038</v>
      </c>
      <c r="C140" s="3">
        <v>3.6814678899082569E-2</v>
      </c>
      <c r="D140" s="3">
        <f t="shared" si="2"/>
        <v>0.10073169166632967</v>
      </c>
      <c r="E140" s="3">
        <v>5.193169166632966E-2</v>
      </c>
      <c r="F140" s="3">
        <v>0.3</v>
      </c>
      <c r="G140" t="s">
        <v>49</v>
      </c>
      <c r="K140" s="118"/>
    </row>
    <row r="141" spans="1:11">
      <c r="A141" t="s">
        <v>185</v>
      </c>
      <c r="B141">
        <v>40.25667520872944</v>
      </c>
      <c r="C141" s="3">
        <v>9.1749082568807344E-2</v>
      </c>
      <c r="D141" s="3">
        <f t="shared" si="2"/>
        <v>0.17822351282468096</v>
      </c>
      <c r="E141" s="3">
        <v>0.12942351282468095</v>
      </c>
      <c r="F141" s="3">
        <v>0.15</v>
      </c>
      <c r="G141" t="s">
        <v>44</v>
      </c>
      <c r="K141" s="118"/>
    </row>
    <row r="142" spans="1:11">
      <c r="A142" t="s">
        <v>186</v>
      </c>
      <c r="B142">
        <v>851.10241111811627</v>
      </c>
      <c r="C142" s="3">
        <v>7.9525458715596339E-2</v>
      </c>
      <c r="D142" s="3">
        <f t="shared" si="2"/>
        <v>0.16098056832609495</v>
      </c>
      <c r="E142" s="3">
        <v>0.11218056832609494</v>
      </c>
      <c r="F142" s="3">
        <v>0.23</v>
      </c>
      <c r="G142" t="s">
        <v>42</v>
      </c>
      <c r="K142" s="118"/>
    </row>
    <row r="143" spans="1:11">
      <c r="A143" t="s">
        <v>592</v>
      </c>
      <c r="B143">
        <v>1.5</v>
      </c>
      <c r="C143" s="3">
        <v>1.9557798165137613E-2</v>
      </c>
      <c r="D143" s="3">
        <f t="shared" si="2"/>
        <v>7.638871119773763E-2</v>
      </c>
      <c r="E143" s="3">
        <v>2.758871119773763E-2</v>
      </c>
      <c r="F143" s="3">
        <v>0</v>
      </c>
      <c r="G143" t="s">
        <v>49</v>
      </c>
      <c r="K143" s="118"/>
    </row>
    <row r="144" spans="1:11">
      <c r="A144" t="s">
        <v>189</v>
      </c>
      <c r="B144">
        <v>25.891058946193581</v>
      </c>
      <c r="C144" s="3">
        <v>6.7301834862385335E-2</v>
      </c>
      <c r="D144" s="3">
        <f t="shared" si="2"/>
        <v>0.14373762382750893</v>
      </c>
      <c r="E144" s="3">
        <v>9.4937623827508935E-2</v>
      </c>
      <c r="F144" s="3">
        <v>0.3</v>
      </c>
      <c r="G144" t="s">
        <v>44</v>
      </c>
      <c r="K144" s="118"/>
    </row>
    <row r="145" spans="1:11">
      <c r="A145" t="s">
        <v>190</v>
      </c>
      <c r="B145">
        <v>112.1541851214065</v>
      </c>
      <c r="C145" s="3">
        <v>0.12238004587155965</v>
      </c>
      <c r="D145" s="3">
        <f t="shared" si="2"/>
        <v>0.22143230315643184</v>
      </c>
      <c r="E145" s="3">
        <v>0.17263230315643183</v>
      </c>
      <c r="F145" s="3">
        <v>0.18</v>
      </c>
      <c r="G145" t="s">
        <v>40</v>
      </c>
      <c r="K145" s="118"/>
    </row>
    <row r="146" spans="1:11">
      <c r="A146" t="s">
        <v>191</v>
      </c>
      <c r="B146">
        <v>382.57508509189927</v>
      </c>
      <c r="C146" s="3">
        <v>6.0399082568807346E-3</v>
      </c>
      <c r="D146" s="3">
        <f t="shared" si="2"/>
        <v>5.7320043164007212E-2</v>
      </c>
      <c r="E146" s="3">
        <v>8.5200431640072103E-3</v>
      </c>
      <c r="F146" s="3">
        <v>0</v>
      </c>
      <c r="G146" t="s">
        <v>38</v>
      </c>
      <c r="K146" s="118"/>
    </row>
    <row r="147" spans="1:11">
      <c r="A147" t="s">
        <v>192</v>
      </c>
      <c r="B147">
        <v>2622.4339596041618</v>
      </c>
      <c r="C147" s="3">
        <v>7.3341743119266058E-3</v>
      </c>
      <c r="D147" s="3">
        <f t="shared" si="2"/>
        <v>5.9145766699151614E-2</v>
      </c>
      <c r="E147" s="3">
        <v>1.0345766699151613E-2</v>
      </c>
      <c r="F147" s="3">
        <v>0.25</v>
      </c>
      <c r="G147" t="s">
        <v>42</v>
      </c>
      <c r="K147" s="118"/>
    </row>
    <row r="148" spans="1:11">
      <c r="A148" t="s">
        <v>193</v>
      </c>
      <c r="B148">
        <v>19390.603999999999</v>
      </c>
      <c r="C148" s="3">
        <v>0</v>
      </c>
      <c r="D148" s="104">
        <v>4.8800000000000003E-2</v>
      </c>
      <c r="E148" s="3">
        <v>0</v>
      </c>
      <c r="F148" s="3">
        <v>0.25</v>
      </c>
      <c r="G148" t="s">
        <v>73</v>
      </c>
    </row>
    <row r="149" spans="1:11">
      <c r="A149" t="s">
        <v>194</v>
      </c>
      <c r="B149">
        <v>56.15697215769584</v>
      </c>
      <c r="C149" s="3">
        <v>2.3296788990825688E-2</v>
      </c>
      <c r="D149" s="3">
        <f>$D$148+E149</f>
        <v>8.1663023632599238E-2</v>
      </c>
      <c r="E149" s="3">
        <v>3.2863023632599235E-2</v>
      </c>
      <c r="F149" s="3">
        <v>0.25</v>
      </c>
      <c r="G149" t="s">
        <v>46</v>
      </c>
    </row>
    <row r="150" spans="1:11">
      <c r="A150" t="s">
        <v>195</v>
      </c>
      <c r="B150">
        <v>250</v>
      </c>
      <c r="C150" s="67">
        <v>0.17499999999999999</v>
      </c>
      <c r="D150" s="3">
        <f t="shared" ref="D150:D152" si="3">$D$148+E150</f>
        <v>0.29565930485826308</v>
      </c>
      <c r="E150" s="67">
        <v>0.2468593048582631</v>
      </c>
      <c r="F150">
        <v>0.34</v>
      </c>
      <c r="G150" t="s">
        <v>46</v>
      </c>
    </row>
    <row r="151" spans="1:11">
      <c r="A151" t="s">
        <v>196</v>
      </c>
      <c r="B151">
        <v>223.86399635465543</v>
      </c>
      <c r="C151" s="67">
        <v>3.6814678899082569E-2</v>
      </c>
      <c r="D151" s="3">
        <f t="shared" si="3"/>
        <v>0.10073169166632967</v>
      </c>
      <c r="E151" s="67">
        <v>5.193169166632966E-2</v>
      </c>
      <c r="F151">
        <v>0.2</v>
      </c>
      <c r="G151" t="s">
        <v>57</v>
      </c>
    </row>
    <row r="152" spans="1:11">
      <c r="A152" t="s">
        <v>197</v>
      </c>
      <c r="B152">
        <v>25.808666421555753</v>
      </c>
      <c r="C152" s="67">
        <v>0.14682729357798166</v>
      </c>
      <c r="D152" s="3">
        <f t="shared" si="3"/>
        <v>0.25591819215360384</v>
      </c>
      <c r="E152" s="67">
        <v>0.20711819215360386</v>
      </c>
      <c r="F152">
        <v>0.35</v>
      </c>
      <c r="G152" t="s">
        <v>44</v>
      </c>
    </row>
    <row r="155" spans="1:11">
      <c r="A155" s="30" t="s">
        <v>36</v>
      </c>
      <c r="B155" s="31" t="s">
        <v>593</v>
      </c>
      <c r="C155" s="31" t="s">
        <v>594</v>
      </c>
      <c r="D155" s="31" t="s">
        <v>595</v>
      </c>
      <c r="E155" s="31" t="s">
        <v>596</v>
      </c>
    </row>
    <row r="156" spans="1:11">
      <c r="A156" s="32" t="s">
        <v>44</v>
      </c>
      <c r="B156" s="33">
        <f>$B$163+C156</f>
        <v>0.15587530436670971</v>
      </c>
      <c r="C156" s="33">
        <v>0.1070753043667097</v>
      </c>
      <c r="D156" s="33">
        <v>7.590630733944953E-2</v>
      </c>
      <c r="E156" s="33">
        <v>0.26380999999999999</v>
      </c>
      <c r="G156" s="142" t="s">
        <v>672</v>
      </c>
      <c r="H156" s="143"/>
    </row>
    <row r="157" spans="1:11">
      <c r="A157" s="32" t="s">
        <v>57</v>
      </c>
      <c r="B157" s="33">
        <f t="shared" ref="B157:B162" si="4">$B$163+C157</f>
        <v>0.11304430062797985</v>
      </c>
      <c r="C157" s="33">
        <v>6.4244300627979839E-2</v>
      </c>
      <c r="D157" s="33">
        <v>4.5543159154367775E-2</v>
      </c>
      <c r="E157" s="33">
        <v>0.23766521739130436</v>
      </c>
      <c r="G157" s="144"/>
      <c r="H157" s="145"/>
    </row>
    <row r="158" spans="1:11">
      <c r="A158" s="32" t="s">
        <v>51</v>
      </c>
      <c r="B158" s="33">
        <f t="shared" si="4"/>
        <v>7.4698226442974303E-2</v>
      </c>
      <c r="C158" s="33">
        <v>2.5898226442974296E-2</v>
      </c>
      <c r="D158" s="33">
        <v>1.8359403669724769E-2</v>
      </c>
      <c r="E158" s="33">
        <v>0.28810000000000002</v>
      </c>
      <c r="G158" s="146"/>
      <c r="H158" s="147"/>
    </row>
    <row r="159" spans="1:11">
      <c r="A159" s="32" t="s">
        <v>49</v>
      </c>
      <c r="B159" s="33">
        <f t="shared" si="4"/>
        <v>0.11619238223775089</v>
      </c>
      <c r="C159" s="33">
        <v>6.7392382237750889E-2</v>
      </c>
      <c r="D159" s="33">
        <v>4.7774852555701179E-2</v>
      </c>
      <c r="E159" s="33">
        <v>0.17372857142857143</v>
      </c>
    </row>
    <row r="160" spans="1:11">
      <c r="A160" s="32" t="s">
        <v>46</v>
      </c>
      <c r="B160" s="33">
        <f t="shared" si="4"/>
        <v>0.14453737509411396</v>
      </c>
      <c r="C160" s="33">
        <v>9.5737375094113952E-2</v>
      </c>
      <c r="D160" s="33">
        <v>6.7868783196523425E-2</v>
      </c>
      <c r="E160" s="33">
        <v>0.28298947368421046</v>
      </c>
    </row>
    <row r="161" spans="1:5">
      <c r="A161" s="32" t="s">
        <v>40</v>
      </c>
      <c r="B161" s="33">
        <f t="shared" si="4"/>
        <v>0.1130233941498533</v>
      </c>
      <c r="C161" s="33">
        <v>6.42233941498533E-2</v>
      </c>
      <c r="D161" s="33">
        <v>4.5528338430173294E-2</v>
      </c>
      <c r="E161" s="33">
        <v>0.16111111111111109</v>
      </c>
    </row>
    <row r="162" spans="1:5">
      <c r="A162" s="32" t="s">
        <v>38</v>
      </c>
      <c r="B162" s="33">
        <f t="shared" si="4"/>
        <v>0.1056300283457226</v>
      </c>
      <c r="C162" s="33">
        <v>5.6830028345722601E-2</v>
      </c>
      <c r="D162" s="33">
        <v>4.0287138320395204E-2</v>
      </c>
      <c r="E162" s="33">
        <v>0.11538461538461539</v>
      </c>
    </row>
    <row r="163" spans="1:5">
      <c r="A163" s="32" t="s">
        <v>73</v>
      </c>
      <c r="B163" s="105">
        <f>D148</f>
        <v>4.8800000000000003E-2</v>
      </c>
      <c r="C163" s="33">
        <v>0</v>
      </c>
      <c r="D163" s="33">
        <v>0</v>
      </c>
      <c r="E163" s="33">
        <v>0.25</v>
      </c>
    </row>
    <row r="164" spans="1:5">
      <c r="A164" s="32" t="s">
        <v>42</v>
      </c>
      <c r="B164" s="33">
        <f>$B$163+C164</f>
        <v>6.5855690802673783E-2</v>
      </c>
      <c r="C164" s="33">
        <v>1.7055690802673776E-2</v>
      </c>
      <c r="D164" s="33">
        <v>1.2090878616796049E-2</v>
      </c>
      <c r="E164" s="33">
        <v>0.19570000000000004</v>
      </c>
    </row>
    <row r="165" spans="1:5">
      <c r="A165" s="32" t="s">
        <v>597</v>
      </c>
      <c r="B165" s="33">
        <f>$B$163+C165</f>
        <v>0.11533723677898319</v>
      </c>
      <c r="C165" s="33">
        <v>6.6537236778983197E-2</v>
      </c>
      <c r="D165" s="33">
        <v>4.7168634955881479E-2</v>
      </c>
      <c r="E165" s="33">
        <v>0.21332547770700633</v>
      </c>
    </row>
  </sheetData>
  <mergeCells count="1">
    <mergeCell ref="G156:H158"/>
  </mergeCells>
  <hyperlinks>
    <hyperlink ref="G156:H158" r:id="rId1" display="ERP Link" xr:uid="{27D99804-DDD5-4EB9-A092-44AF0EED5083}"/>
  </hyperlinks>
  <pageMargins left="0.7" right="0.7" top="0.75" bottom="0.75" header="0.3" footer="0.3"/>
  <pageSetup orientation="portrait" r:id="rId2"/>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66897F-8CCF-4607-9FF2-36A4EAFED872}">
  <sheetPr>
    <tabColor theme="4" tint="0.39997558519241921"/>
  </sheetPr>
  <dimension ref="A1:H5"/>
  <sheetViews>
    <sheetView workbookViewId="0"/>
  </sheetViews>
  <sheetFormatPr defaultRowHeight="15"/>
  <cols>
    <col min="4" max="4" width="22.140625" bestFit="1" customWidth="1"/>
    <col min="6" max="6" width="23.140625" bestFit="1" customWidth="1"/>
    <col min="7" max="7" width="15" bestFit="1" customWidth="1"/>
  </cols>
  <sheetData>
    <row r="1" spans="1:8">
      <c r="A1" t="s">
        <v>294</v>
      </c>
      <c r="B1">
        <v>0.25</v>
      </c>
      <c r="C1" t="s">
        <v>319</v>
      </c>
      <c r="D1" t="s">
        <v>555</v>
      </c>
      <c r="F1" t="s">
        <v>559</v>
      </c>
      <c r="G1" t="s">
        <v>555</v>
      </c>
      <c r="H1">
        <v>1</v>
      </c>
    </row>
    <row r="2" spans="1:8">
      <c r="A2" t="s">
        <v>295</v>
      </c>
      <c r="B2">
        <v>0.5</v>
      </c>
      <c r="C2" t="s">
        <v>320</v>
      </c>
      <c r="D2" t="s">
        <v>556</v>
      </c>
      <c r="F2" t="s">
        <v>2</v>
      </c>
      <c r="G2" t="s">
        <v>499</v>
      </c>
      <c r="H2">
        <v>2</v>
      </c>
    </row>
    <row r="3" spans="1:8">
      <c r="B3">
        <v>0.75</v>
      </c>
      <c r="D3" t="s">
        <v>497</v>
      </c>
      <c r="F3" t="s">
        <v>560</v>
      </c>
      <c r="G3" t="s">
        <v>561</v>
      </c>
    </row>
    <row r="4" spans="1:8">
      <c r="B4">
        <v>1</v>
      </c>
      <c r="D4" t="s">
        <v>557</v>
      </c>
      <c r="F4" t="s">
        <v>498</v>
      </c>
    </row>
    <row r="5" spans="1:8">
      <c r="D5" t="s">
        <v>558</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A32484-B5A5-45E7-A42E-27F2F1B3F853}">
  <sheetPr>
    <tabColor theme="4" tint="0.39997558519241921"/>
  </sheetPr>
  <dimension ref="A1:E7"/>
  <sheetViews>
    <sheetView workbookViewId="0">
      <selection activeCell="H1" sqref="H1"/>
    </sheetView>
  </sheetViews>
  <sheetFormatPr defaultRowHeight="15"/>
  <cols>
    <col min="1" max="1" width="21.140625" bestFit="1" customWidth="1"/>
    <col min="2" max="2" width="11.140625" bestFit="1" customWidth="1"/>
    <col min="3" max="3" width="22.7109375" bestFit="1" customWidth="1"/>
    <col min="4" max="4" width="26.140625" bestFit="1" customWidth="1"/>
    <col min="5" max="5" width="16.42578125" bestFit="1" customWidth="1"/>
  </cols>
  <sheetData>
    <row r="1" spans="1:5">
      <c r="A1" t="s">
        <v>599</v>
      </c>
      <c r="B1" s="61" t="s">
        <v>600</v>
      </c>
      <c r="C1" s="61" t="s">
        <v>601</v>
      </c>
      <c r="D1" s="61" t="s">
        <v>602</v>
      </c>
      <c r="E1" s="61" t="s">
        <v>603</v>
      </c>
    </row>
    <row r="2" spans="1:5">
      <c r="A2" s="62" t="s">
        <v>5</v>
      </c>
      <c r="B2" s="63">
        <v>23446.1</v>
      </c>
      <c r="C2" s="63">
        <v>18079.8</v>
      </c>
      <c r="D2" s="63">
        <v>16460.5</v>
      </c>
      <c r="E2" s="64">
        <f>B2-C2+D2</f>
        <v>21826.799999999999</v>
      </c>
    </row>
    <row r="3" spans="1:5">
      <c r="A3" s="62" t="s">
        <v>604</v>
      </c>
      <c r="B3" s="63">
        <v>0</v>
      </c>
      <c r="C3" s="63">
        <v>0</v>
      </c>
      <c r="D3" s="63">
        <v>0</v>
      </c>
      <c r="E3" s="64">
        <f>B3-C3+D3</f>
        <v>0</v>
      </c>
    </row>
    <row r="4" spans="1:5">
      <c r="A4" s="62" t="s">
        <v>6</v>
      </c>
      <c r="B4" s="63">
        <v>968.4</v>
      </c>
      <c r="C4" s="63">
        <v>794.9</v>
      </c>
      <c r="D4" s="63">
        <v>608.79999999999995</v>
      </c>
      <c r="E4" s="64">
        <f>B4-C4+D4</f>
        <v>782.3</v>
      </c>
    </row>
    <row r="5" spans="1:5">
      <c r="A5" s="62" t="s">
        <v>605</v>
      </c>
      <c r="B5" s="63">
        <v>85.3</v>
      </c>
      <c r="C5" s="63">
        <v>61.6</v>
      </c>
      <c r="D5" s="63">
        <v>74.5</v>
      </c>
      <c r="E5" s="64">
        <f>B5-C5+D5</f>
        <v>98.199999999999989</v>
      </c>
    </row>
    <row r="6" spans="1:5">
      <c r="E6" s="64"/>
    </row>
    <row r="7" spans="1:5">
      <c r="A7" s="106" t="s">
        <v>670</v>
      </c>
      <c r="B7" s="107">
        <v>0</v>
      </c>
      <c r="C7" s="107">
        <v>0</v>
      </c>
      <c r="D7" s="107">
        <v>0</v>
      </c>
      <c r="E7" s="64">
        <f>B7-C7+D7</f>
        <v>0</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2DF03F-2B02-4373-81DD-EF7BA066F700}">
  <sheetPr>
    <tabColor theme="4" tint="0.39997558519241921"/>
  </sheetPr>
  <dimension ref="A1:N40"/>
  <sheetViews>
    <sheetView tabSelected="1" workbookViewId="0"/>
  </sheetViews>
  <sheetFormatPr defaultRowHeight="15"/>
  <cols>
    <col min="1" max="1" width="30.5703125" bestFit="1" customWidth="1"/>
    <col min="2" max="2" width="14.5703125" customWidth="1"/>
    <col min="3" max="5" width="12.5703125" bestFit="1" customWidth="1"/>
    <col min="6" max="12" width="12.7109375" bestFit="1" customWidth="1"/>
    <col min="13" max="13" width="12.5703125" bestFit="1" customWidth="1"/>
    <col min="14" max="14" width="10.5703125" bestFit="1" customWidth="1"/>
  </cols>
  <sheetData>
    <row r="1" spans="1:14" s="51" customFormat="1" ht="20.25" thickBot="1">
      <c r="B1" s="51" t="s">
        <v>347</v>
      </c>
      <c r="C1" s="51">
        <v>1</v>
      </c>
      <c r="D1" s="51">
        <v>2</v>
      </c>
      <c r="E1" s="51">
        <v>3</v>
      </c>
      <c r="F1" s="51">
        <v>4</v>
      </c>
      <c r="G1" s="51">
        <v>5</v>
      </c>
      <c r="H1" s="51">
        <v>6</v>
      </c>
      <c r="I1" s="51">
        <v>7</v>
      </c>
      <c r="J1" s="51">
        <v>8</v>
      </c>
      <c r="K1" s="51">
        <v>9</v>
      </c>
      <c r="L1" s="51">
        <v>10</v>
      </c>
      <c r="M1" s="51" t="s">
        <v>348</v>
      </c>
    </row>
    <row r="2" spans="1:14" ht="15.75" thickTop="1">
      <c r="A2" t="s">
        <v>349</v>
      </c>
      <c r="C2" s="46">
        <f>'Input Sheet'!B23</f>
        <v>0</v>
      </c>
      <c r="D2" s="46">
        <f>C2</f>
        <v>0</v>
      </c>
      <c r="E2" s="46">
        <f>'Input Sheet'!C23</f>
        <v>3.5000000000000003E-2</v>
      </c>
      <c r="F2" s="46">
        <f>E2</f>
        <v>3.5000000000000003E-2</v>
      </c>
      <c r="G2" s="46">
        <f>F2</f>
        <v>3.5000000000000003E-2</v>
      </c>
      <c r="H2" s="46">
        <f>G2-((G2-'Input Sheet'!B27)/5)</f>
        <v>3.6540000000000003E-2</v>
      </c>
      <c r="I2" s="46">
        <f>G2-((G2-'Input Sheet'!B27)/5)*2</f>
        <v>3.8080000000000003E-2</v>
      </c>
      <c r="J2" s="46">
        <f>G2-((G2-'Input Sheet'!B27)/5)*3</f>
        <v>3.9620000000000002E-2</v>
      </c>
      <c r="K2" s="46">
        <f>G2-((G2-'Input Sheet'!B27)/5)*4</f>
        <v>4.1160000000000002E-2</v>
      </c>
      <c r="L2" s="46">
        <f>G2-((G2-'Input Sheet'!B27)/5)*5</f>
        <v>4.2700000000000002E-2</v>
      </c>
      <c r="M2" s="46">
        <f>L2</f>
        <v>4.2700000000000002E-2</v>
      </c>
    </row>
    <row r="3" spans="1:14">
      <c r="A3" t="s">
        <v>5</v>
      </c>
      <c r="B3" s="45">
        <f>'Input Sheet'!B8</f>
        <v>21826.799999999999</v>
      </c>
      <c r="C3" s="45">
        <f>B3*(1+C2)</f>
        <v>21826.799999999999</v>
      </c>
      <c r="D3" s="45">
        <f t="shared" ref="D3:L3" si="0">C3*(1+D2)</f>
        <v>21826.799999999999</v>
      </c>
      <c r="E3" s="45">
        <f t="shared" si="0"/>
        <v>22590.737999999998</v>
      </c>
      <c r="F3" s="45">
        <f t="shared" si="0"/>
        <v>23381.413829999994</v>
      </c>
      <c r="G3" s="45">
        <f t="shared" si="0"/>
        <v>24199.763314049993</v>
      </c>
      <c r="H3" s="45">
        <f t="shared" si="0"/>
        <v>25084.022665545381</v>
      </c>
      <c r="I3" s="45">
        <f t="shared" si="0"/>
        <v>26039.222248649345</v>
      </c>
      <c r="J3" s="45">
        <f t="shared" si="0"/>
        <v>27070.89623414083</v>
      </c>
      <c r="K3" s="45">
        <f t="shared" si="0"/>
        <v>28185.134323138067</v>
      </c>
      <c r="L3" s="45">
        <f t="shared" si="0"/>
        <v>29388.63955873606</v>
      </c>
      <c r="M3" s="102">
        <f>L3*(1+M2)</f>
        <v>30643.534467894089</v>
      </c>
    </row>
    <row r="4" spans="1:14">
      <c r="A4" t="s">
        <v>350</v>
      </c>
      <c r="B4" s="46">
        <f>B5/B3</f>
        <v>3.5841259369215825E-2</v>
      </c>
      <c r="C4" s="46">
        <f>'Input Sheet'!$B$24-(('Input Sheet'!$B$24-$B$4)/10)*(10-C1)</f>
        <v>3.6257133432294239E-2</v>
      </c>
      <c r="D4" s="46">
        <f>'Input Sheet'!$B$24-(('Input Sheet'!$B$24-$B$4)/10)*(10-D1)</f>
        <v>3.667300749537266E-2</v>
      </c>
      <c r="E4" s="46">
        <f>'Input Sheet'!$B$24-(('Input Sheet'!$B$24-$B$4)/10)*(10-E1)</f>
        <v>3.7088881558451081E-2</v>
      </c>
      <c r="F4" s="46">
        <f>'Input Sheet'!$B$24-(('Input Sheet'!$B$24-$B$4)/10)*(10-F1)</f>
        <v>3.7504755621529495E-2</v>
      </c>
      <c r="G4" s="46">
        <f>'Input Sheet'!$B$24-(('Input Sheet'!$B$24-$B$4)/10)*(10-G1)</f>
        <v>3.7920629684607909E-2</v>
      </c>
      <c r="H4" s="46">
        <f>'Input Sheet'!$B$24-(('Input Sheet'!$B$24-$B$4)/10)*(10-H1)</f>
        <v>3.833650374768633E-2</v>
      </c>
      <c r="I4" s="46">
        <f>'Input Sheet'!$B$24-(('Input Sheet'!$B$24-$B$4)/10)*(10-I1)</f>
        <v>3.8752377810764752E-2</v>
      </c>
      <c r="J4" s="46">
        <f>'Input Sheet'!$B$24-(('Input Sheet'!$B$24-$B$4)/10)*(10-J1)</f>
        <v>3.9168251873843166E-2</v>
      </c>
      <c r="K4" s="46">
        <f>'Input Sheet'!$B$24-(('Input Sheet'!$B$24-$B$4)/10)*(10-K1)</f>
        <v>3.958412593692158E-2</v>
      </c>
      <c r="L4" s="46">
        <f>'Input Sheet'!$B$24-(('Input Sheet'!$B$24-$B$4)/10)*(10-L1)</f>
        <v>0.04</v>
      </c>
      <c r="M4" s="46">
        <f>L4</f>
        <v>0.04</v>
      </c>
    </row>
    <row r="5" spans="1:14">
      <c r="A5" t="s">
        <v>351</v>
      </c>
      <c r="B5" s="60">
        <f>IF('Input Sheet'!B14="Yes",IF('Input Sheet'!B13="Yes",'Input Sheet'!B9+'Operating lease converter'!F32+'R&amp; D converter'!D39,'Input Sheet'!B9+'Operating lease converter'!F32),IF('Input Sheet'!B13="Yes",'Input Sheet'!B9+'R&amp; D converter'!D39,'Input Sheet'!B9))</f>
        <v>782.3</v>
      </c>
      <c r="C5" s="60">
        <f t="shared" ref="C5:M5" si="1">C4*C3</f>
        <v>791.3771999999999</v>
      </c>
      <c r="D5" s="60">
        <f t="shared" si="1"/>
        <v>800.45439999999996</v>
      </c>
      <c r="E5" s="60">
        <f t="shared" si="1"/>
        <v>837.86520599999994</v>
      </c>
      <c r="F5" s="60">
        <f t="shared" si="1"/>
        <v>876.91421177999973</v>
      </c>
      <c r="G5" s="60">
        <f t="shared" si="1"/>
        <v>917.67026308724962</v>
      </c>
      <c r="H5" s="60">
        <f t="shared" si="1"/>
        <v>961.63372892472933</v>
      </c>
      <c r="I5" s="60">
        <f t="shared" si="1"/>
        <v>1009.0817784781307</v>
      </c>
      <c r="J5" s="60">
        <f t="shared" si="1"/>
        <v>1060.3196821495005</v>
      </c>
      <c r="K5" s="60">
        <f t="shared" si="1"/>
        <v>1115.6839065961483</v>
      </c>
      <c r="L5" s="60">
        <f t="shared" si="1"/>
        <v>1175.5455823494424</v>
      </c>
      <c r="M5" s="60">
        <f t="shared" si="1"/>
        <v>1225.7413787157636</v>
      </c>
      <c r="N5" s="103">
        <f>M5-B5</f>
        <v>443.44137871576368</v>
      </c>
    </row>
    <row r="6" spans="1:14">
      <c r="A6" t="s">
        <v>352</v>
      </c>
      <c r="B6" s="46">
        <f>'Input Sheet'!B20</f>
        <v>0.24349442379182157</v>
      </c>
      <c r="C6" s="46">
        <f>B6</f>
        <v>0.24349442379182157</v>
      </c>
      <c r="D6" s="46">
        <f>C6</f>
        <v>0.24349442379182157</v>
      </c>
      <c r="E6" s="46">
        <f>D6</f>
        <v>0.24349442379182157</v>
      </c>
      <c r="F6" s="46">
        <f>E6</f>
        <v>0.24349442379182157</v>
      </c>
      <c r="G6" s="46">
        <f>F6</f>
        <v>0.24349442379182157</v>
      </c>
      <c r="H6" s="46">
        <f>G6+($M$6-$G$6)/5</f>
        <v>0.24479553903345724</v>
      </c>
      <c r="I6" s="46">
        <f>H6+($M$6-$G$6)/5</f>
        <v>0.24609665427509292</v>
      </c>
      <c r="J6" s="46">
        <f>I6+($M$6-$G$6)/5</f>
        <v>0.24739776951672859</v>
      </c>
      <c r="K6" s="46">
        <f>J6+($M$6-$G$6)/5</f>
        <v>0.24869888475836427</v>
      </c>
      <c r="L6" s="46">
        <f>K6+($M$6-$G$6)/5</f>
        <v>0.24999999999999994</v>
      </c>
      <c r="M6" s="46">
        <f>IF('Input Sheet'!B49="Yes",'Input Sheet'!B20,'Input Sheet'!B21)</f>
        <v>0.25</v>
      </c>
    </row>
    <row r="7" spans="1:14">
      <c r="A7" t="s">
        <v>353</v>
      </c>
      <c r="B7" s="45">
        <f>IF(B5&gt;0,B5*(1-B6),B5)</f>
        <v>591.81431226765801</v>
      </c>
      <c r="C7" s="45">
        <f>IF(C5&gt;0,IF(C5&lt;B10,C5,C5-(C5-B10)*C6),C5)</f>
        <v>598.68126468401476</v>
      </c>
      <c r="D7" s="45">
        <f t="shared" ref="D7:L7" si="2">IF(D5&gt;0,IF(D5&lt;C10,D5,D5-(D5-C10)*D6),D5)</f>
        <v>605.54821710037174</v>
      </c>
      <c r="E7" s="45">
        <f t="shared" si="2"/>
        <v>633.84970044981401</v>
      </c>
      <c r="F7" s="45">
        <f t="shared" si="2"/>
        <v>663.39049106776929</v>
      </c>
      <c r="G7" s="45">
        <f t="shared" si="2"/>
        <v>694.22267114593046</v>
      </c>
      <c r="H7" s="45">
        <f t="shared" si="2"/>
        <v>726.23008189984671</v>
      </c>
      <c r="I7" s="45">
        <f t="shared" si="2"/>
        <v>760.75012890470225</v>
      </c>
      <c r="J7" s="45">
        <f t="shared" si="2"/>
        <v>797.99895781102748</v>
      </c>
      <c r="K7" s="45">
        <f t="shared" si="2"/>
        <v>838.21456328283114</v>
      </c>
      <c r="L7" s="45">
        <f t="shared" si="2"/>
        <v>881.65918676208184</v>
      </c>
      <c r="M7" s="45">
        <f>M5*(1-M6)</f>
        <v>919.30603403682267</v>
      </c>
    </row>
    <row r="8" spans="1:14">
      <c r="A8" t="s">
        <v>354</v>
      </c>
      <c r="B8" s="41"/>
      <c r="C8" s="45">
        <f t="shared" ref="C8:L8" si="3">(C3-B3)/C38</f>
        <v>0</v>
      </c>
      <c r="D8" s="45">
        <f t="shared" si="3"/>
        <v>0</v>
      </c>
      <c r="E8" s="45">
        <f t="shared" si="3"/>
        <v>190.98449999999957</v>
      </c>
      <c r="F8" s="45">
        <f t="shared" si="3"/>
        <v>197.66895749999912</v>
      </c>
      <c r="G8" s="45">
        <f t="shared" si="3"/>
        <v>204.58737101249972</v>
      </c>
      <c r="H8" s="45">
        <f t="shared" si="3"/>
        <v>221.06483787384695</v>
      </c>
      <c r="I8" s="45">
        <f t="shared" si="3"/>
        <v>238.79989577599099</v>
      </c>
      <c r="J8" s="45">
        <f t="shared" si="3"/>
        <v>257.91849637287123</v>
      </c>
      <c r="K8" s="45">
        <f t="shared" si="3"/>
        <v>278.55952224930934</v>
      </c>
      <c r="L8" s="45">
        <f t="shared" si="3"/>
        <v>300.87630889949833</v>
      </c>
      <c r="M8" s="45">
        <f>(M2/M40)*M7</f>
        <v>447.59826286627521</v>
      </c>
      <c r="N8" s="103">
        <f>SUM(C8:M8)</f>
        <v>2338.0581525502903</v>
      </c>
    </row>
    <row r="9" spans="1:14">
      <c r="A9" t="s">
        <v>355</v>
      </c>
      <c r="B9" s="41"/>
      <c r="C9" s="45">
        <f t="shared" ref="C9:L9" si="4">C7-C8</f>
        <v>598.68126468401476</v>
      </c>
      <c r="D9" s="45">
        <f t="shared" si="4"/>
        <v>605.54821710037174</v>
      </c>
      <c r="E9" s="45">
        <f t="shared" si="4"/>
        <v>442.86520044981444</v>
      </c>
      <c r="F9" s="45">
        <f t="shared" si="4"/>
        <v>465.72153356777017</v>
      </c>
      <c r="G9" s="45">
        <f t="shared" si="4"/>
        <v>489.63530013343075</v>
      </c>
      <c r="H9" s="45">
        <f t="shared" si="4"/>
        <v>505.16524402599975</v>
      </c>
      <c r="I9" s="45">
        <f t="shared" si="4"/>
        <v>521.95023312871126</v>
      </c>
      <c r="J9" s="45">
        <f t="shared" si="4"/>
        <v>540.08046143815625</v>
      </c>
      <c r="K9" s="45">
        <f t="shared" si="4"/>
        <v>559.6550410335218</v>
      </c>
      <c r="L9" s="45">
        <f t="shared" si="4"/>
        <v>580.78287786258352</v>
      </c>
      <c r="M9" s="45">
        <f>M7-M8</f>
        <v>471.70777117054746</v>
      </c>
    </row>
    <row r="10" spans="1:14">
      <c r="A10" t="s">
        <v>356</v>
      </c>
      <c r="B10" s="45">
        <f>IF('Input Sheet'!B51="Yes",'Input Sheet'!B52,0)</f>
        <v>0</v>
      </c>
      <c r="C10" s="45">
        <f t="shared" ref="C10:M10" si="5">IF(C5&lt;0,B10-C5,IF(B10&gt;C5,B10-C5,0))</f>
        <v>0</v>
      </c>
      <c r="D10" s="45">
        <f t="shared" si="5"/>
        <v>0</v>
      </c>
      <c r="E10" s="45">
        <f t="shared" si="5"/>
        <v>0</v>
      </c>
      <c r="F10" s="45">
        <f t="shared" si="5"/>
        <v>0</v>
      </c>
      <c r="G10" s="45">
        <f t="shared" si="5"/>
        <v>0</v>
      </c>
      <c r="H10" s="45">
        <f t="shared" si="5"/>
        <v>0</v>
      </c>
      <c r="I10" s="45">
        <f t="shared" si="5"/>
        <v>0</v>
      </c>
      <c r="J10" s="45">
        <f t="shared" si="5"/>
        <v>0</v>
      </c>
      <c r="K10" s="45">
        <f t="shared" si="5"/>
        <v>0</v>
      </c>
      <c r="L10" s="45">
        <f t="shared" si="5"/>
        <v>0</v>
      </c>
      <c r="M10" s="45">
        <f t="shared" si="5"/>
        <v>0</v>
      </c>
    </row>
    <row r="12" spans="1:14">
      <c r="A12" t="s">
        <v>357</v>
      </c>
      <c r="C12" s="46">
        <f>'Input Sheet'!B28</f>
        <v>8.821701449412063E-2</v>
      </c>
      <c r="D12" s="46">
        <f>C12</f>
        <v>8.821701449412063E-2</v>
      </c>
      <c r="E12" s="46">
        <f>D12</f>
        <v>8.821701449412063E-2</v>
      </c>
      <c r="F12" s="46">
        <f>E12</f>
        <v>8.821701449412063E-2</v>
      </c>
      <c r="G12" s="46">
        <f>F12</f>
        <v>8.821701449412063E-2</v>
      </c>
      <c r="H12" s="46">
        <f>G12-($G$12-$M$12)/5</f>
        <v>8.8113611595296501E-2</v>
      </c>
      <c r="I12" s="46">
        <f>H12-($G$12-$M$12)/5</f>
        <v>8.8010208696472372E-2</v>
      </c>
      <c r="J12" s="46">
        <f>I12-($G$12-$M$12)/5</f>
        <v>8.7906805797648244E-2</v>
      </c>
      <c r="K12" s="46">
        <f>J12-($G$12-$M$12)/5</f>
        <v>8.7803402898824115E-2</v>
      </c>
      <c r="L12" s="46">
        <f>K12-($G$12-$M$12)/5</f>
        <v>8.7699999999999986E-2</v>
      </c>
      <c r="M12" s="46">
        <f>IF('Input Sheet'!B38="Yes",'Input Sheet'!B39,'Input Sheet'!B27+0.045)</f>
        <v>8.77E-2</v>
      </c>
    </row>
    <row r="13" spans="1:14">
      <c r="A13" t="s">
        <v>358</v>
      </c>
      <c r="C13" s="49">
        <f>1/(1+C12)</f>
        <v>0.91893435471128893</v>
      </c>
      <c r="D13" s="49">
        <f>C13*(1/(1+D12))</f>
        <v>0.844440348268653</v>
      </c>
      <c r="E13" s="49">
        <f t="shared" ref="E13:L13" si="6">D13*(1/(1+E12))</f>
        <v>0.77598524652843071</v>
      </c>
      <c r="F13" s="49">
        <f t="shared" si="6"/>
        <v>0.71307950178408397</v>
      </c>
      <c r="G13" s="49">
        <f t="shared" si="6"/>
        <v>0.65527325182980456</v>
      </c>
      <c r="H13" s="49">
        <f t="shared" si="6"/>
        <v>0.60221032514160033</v>
      </c>
      <c r="I13" s="49">
        <f t="shared" si="6"/>
        <v>0.55349694362068425</v>
      </c>
      <c r="J13" s="49">
        <f t="shared" si="6"/>
        <v>0.50877238810438619</v>
      </c>
      <c r="K13" s="49">
        <f t="shared" si="6"/>
        <v>0.46770619281810311</v>
      </c>
      <c r="L13" s="49">
        <f t="shared" si="6"/>
        <v>0.42999558041565061</v>
      </c>
    </row>
    <row r="14" spans="1:14">
      <c r="A14" t="s">
        <v>359</v>
      </c>
      <c r="C14" s="45">
        <f t="shared" ref="C14:L14" si="7">C9*C13</f>
        <v>550.14878164014351</v>
      </c>
      <c r="D14" s="45">
        <f t="shared" si="7"/>
        <v>511.3493473416998</v>
      </c>
      <c r="E14" s="45">
        <f t="shared" si="7"/>
        <v>343.65686174991214</v>
      </c>
      <c r="F14" s="45">
        <f t="shared" si="7"/>
        <v>332.09647912662507</v>
      </c>
      <c r="G14" s="45">
        <f t="shared" si="7"/>
        <v>320.8449153290955</v>
      </c>
      <c r="H14" s="45">
        <f t="shared" si="7"/>
        <v>304.2157258551332</v>
      </c>
      <c r="I14" s="45">
        <f t="shared" si="7"/>
        <v>288.8978587588453</v>
      </c>
      <c r="J14" s="45">
        <f t="shared" si="7"/>
        <v>274.77802613440963</v>
      </c>
      <c r="K14" s="45">
        <f t="shared" si="7"/>
        <v>261.75412853324775</v>
      </c>
      <c r="L14" s="45">
        <f t="shared" si="7"/>
        <v>249.73407066199351</v>
      </c>
    </row>
    <row r="16" spans="1:14">
      <c r="A16" s="8" t="s">
        <v>360</v>
      </c>
      <c r="B16" s="45">
        <f>M9</f>
        <v>471.70777117054746</v>
      </c>
    </row>
    <row r="17" spans="1:2">
      <c r="A17" t="s">
        <v>361</v>
      </c>
      <c r="B17" s="46">
        <f>M12</f>
        <v>8.77E-2</v>
      </c>
    </row>
    <row r="18" spans="1:2">
      <c r="A18" t="s">
        <v>362</v>
      </c>
      <c r="B18" s="45">
        <f>B16/(B17-'Input Sheet'!B27)</f>
        <v>10482.394914901055</v>
      </c>
    </row>
    <row r="19" spans="1:2">
      <c r="A19" t="s">
        <v>363</v>
      </c>
      <c r="B19" s="45">
        <f>B18*L13</f>
        <v>4507.3834855789437</v>
      </c>
    </row>
    <row r="20" spans="1:2">
      <c r="A20" t="s">
        <v>364</v>
      </c>
      <c r="B20" s="45">
        <f>SUM(C14:L14)</f>
        <v>3437.4761951311057</v>
      </c>
    </row>
    <row r="21" spans="1:2">
      <c r="A21" t="s">
        <v>365</v>
      </c>
      <c r="B21" s="45">
        <f>B19+B20</f>
        <v>7944.8596807100494</v>
      </c>
    </row>
    <row r="22" spans="1:2">
      <c r="A22" t="s">
        <v>366</v>
      </c>
      <c r="B22" s="46">
        <f>IF('Input Sheet'!B44="Yes",'Input Sheet'!B45,0)</f>
        <v>0</v>
      </c>
    </row>
    <row r="23" spans="1:2">
      <c r="A23" t="s">
        <v>367</v>
      </c>
      <c r="B23" s="45">
        <f>IF('Input Sheet'!B46="B",('Input Sheet'!B11+'Input Sheet'!B12)*'Input Sheet'!B47,'Valuation Output'!B21*'Input Sheet'!B47)</f>
        <v>1547.65</v>
      </c>
    </row>
    <row r="24" spans="1:2">
      <c r="A24" t="s">
        <v>368</v>
      </c>
      <c r="B24" s="45">
        <f>B21*(1-B22)+B23*B22</f>
        <v>7944.8596807100494</v>
      </c>
    </row>
    <row r="25" spans="1:2">
      <c r="A25" t="s">
        <v>369</v>
      </c>
      <c r="B25" s="45">
        <f>IF('Input Sheet'!B14="Yes",'Input Sheet'!B12+'Operating lease converter'!C28,'Input Sheet'!B12)+'Input Sheet'!F16</f>
        <v>2251.2000000000003</v>
      </c>
    </row>
    <row r="26" spans="1:2">
      <c r="A26" t="s">
        <v>370</v>
      </c>
      <c r="B26" s="45">
        <f>'Input Sheet'!B17</f>
        <v>0</v>
      </c>
    </row>
    <row r="27" spans="1:2">
      <c r="A27" t="s">
        <v>371</v>
      </c>
      <c r="B27" s="45">
        <f>IF('Input Sheet'!B54="YES",'Input Sheet'!B15-'Input Sheet'!B55*('Input Sheet'!B21-'Input Sheet'!B56),'Input Sheet'!B15)</f>
        <v>133.30000000000001</v>
      </c>
    </row>
    <row r="28" spans="1:2">
      <c r="A28" t="s">
        <v>372</v>
      </c>
      <c r="B28" s="45">
        <f>'Input Sheet'!B16</f>
        <v>0</v>
      </c>
    </row>
    <row r="29" spans="1:2">
      <c r="A29" t="s">
        <v>373</v>
      </c>
      <c r="B29" s="45">
        <f>B24-B25-B26+B27+B28</f>
        <v>5826.9596807100488</v>
      </c>
    </row>
    <row r="30" spans="1:2">
      <c r="A30" t="s">
        <v>374</v>
      </c>
      <c r="B30" s="45">
        <f>IF('Input Sheet'!B30="No",0,'Option value'!D27)</f>
        <v>0</v>
      </c>
    </row>
    <row r="31" spans="1:2">
      <c r="A31" t="s">
        <v>375</v>
      </c>
      <c r="B31" s="45">
        <f>B29-B30</f>
        <v>5826.9596807100488</v>
      </c>
    </row>
    <row r="32" spans="1:2">
      <c r="A32" t="s">
        <v>376</v>
      </c>
      <c r="B32" s="48">
        <f>'Input Sheet'!B18</f>
        <v>21.28</v>
      </c>
    </row>
    <row r="33" spans="1:13">
      <c r="A33" t="s">
        <v>377</v>
      </c>
      <c r="B33" s="50">
        <f>B31/B32</f>
        <v>273.82329326644964</v>
      </c>
    </row>
    <row r="34" spans="1:13">
      <c r="A34" t="s">
        <v>378</v>
      </c>
      <c r="B34" s="45">
        <f>'Input Sheet'!B19</f>
        <v>363.23</v>
      </c>
    </row>
    <row r="35" spans="1:13">
      <c r="A35" s="11" t="s">
        <v>379</v>
      </c>
      <c r="B35" s="47">
        <f>B34/B33</f>
        <v>1.3265124221793332</v>
      </c>
      <c r="D35" s="57">
        <f>(B33-B34)/B34</f>
        <v>-0.24614350888844638</v>
      </c>
      <c r="E35" t="str">
        <f>IF(D35&gt;0,"upside","downside")</f>
        <v>downside</v>
      </c>
    </row>
    <row r="37" spans="1:13">
      <c r="A37" s="8" t="s">
        <v>380</v>
      </c>
      <c r="B37" s="8"/>
      <c r="M37" t="s">
        <v>598</v>
      </c>
    </row>
    <row r="38" spans="1:13">
      <c r="A38" t="s">
        <v>381</v>
      </c>
      <c r="C38" s="48">
        <f>'Input Sheet'!B25</f>
        <v>7</v>
      </c>
      <c r="D38" s="48">
        <f t="shared" ref="D38:L38" si="8">C38</f>
        <v>7</v>
      </c>
      <c r="E38" s="48">
        <f>'Input Sheet'!C25</f>
        <v>4</v>
      </c>
      <c r="F38" s="48">
        <f t="shared" si="8"/>
        <v>4</v>
      </c>
      <c r="G38" s="48">
        <f t="shared" si="8"/>
        <v>4</v>
      </c>
      <c r="H38" s="48">
        <f t="shared" si="8"/>
        <v>4</v>
      </c>
      <c r="I38" s="48">
        <f t="shared" si="8"/>
        <v>4</v>
      </c>
      <c r="J38" s="48">
        <f t="shared" si="8"/>
        <v>4</v>
      </c>
      <c r="K38" s="48">
        <f t="shared" si="8"/>
        <v>4</v>
      </c>
      <c r="L38" s="48">
        <f t="shared" si="8"/>
        <v>4</v>
      </c>
    </row>
    <row r="39" spans="1:13">
      <c r="A39" t="s">
        <v>382</v>
      </c>
      <c r="B39" s="60">
        <f>IF('Input Sheet'!B14="Yes",IF('Input Sheet'!B13="Yes",'Input Sheet'!B11+'Input Sheet'!B12-'Input Sheet'!B15+'Operating lease converter'!F33+'R&amp; D converter'!D35,'Input Sheet'!B11+'Input Sheet'!B12-'Input Sheet'!B15+'Operating lease converter'!F33),IF('Input Sheet'!B13="Yes",'Input Sheet'!B11+'Input Sheet'!B12-'Input Sheet'!B15+'R&amp; D converter'!D35,'Input Sheet'!B11+'Input Sheet'!B12-'Input Sheet'!B15))</f>
        <v>2962</v>
      </c>
      <c r="C39" s="45">
        <f t="shared" ref="C39:L39" si="9">B39+C8</f>
        <v>2962</v>
      </c>
      <c r="D39" s="45">
        <f t="shared" si="9"/>
        <v>2962</v>
      </c>
      <c r="E39" s="45">
        <f t="shared" si="9"/>
        <v>3152.9844999999996</v>
      </c>
      <c r="F39" s="45">
        <f t="shared" si="9"/>
        <v>3350.6534574999987</v>
      </c>
      <c r="G39" s="45">
        <f t="shared" si="9"/>
        <v>3555.2408285124984</v>
      </c>
      <c r="H39" s="45">
        <f t="shared" si="9"/>
        <v>3776.3056663863454</v>
      </c>
      <c r="I39" s="45">
        <f t="shared" si="9"/>
        <v>4015.1055621623364</v>
      </c>
      <c r="J39" s="45">
        <f t="shared" si="9"/>
        <v>4273.0240585352076</v>
      </c>
      <c r="K39" s="45">
        <f t="shared" si="9"/>
        <v>4551.5835807845169</v>
      </c>
      <c r="L39" s="45">
        <f t="shared" si="9"/>
        <v>4852.4598896840153</v>
      </c>
    </row>
    <row r="40" spans="1:13">
      <c r="A40" t="s">
        <v>383</v>
      </c>
      <c r="B40" s="59">
        <f t="shared" ref="B40:L40" si="10">B7/B39</f>
        <v>0.19980226612682581</v>
      </c>
      <c r="C40" s="59">
        <f t="shared" si="10"/>
        <v>0.20212061603106507</v>
      </c>
      <c r="D40" s="59">
        <f t="shared" si="10"/>
        <v>0.20443896593530445</v>
      </c>
      <c r="E40" s="59">
        <f t="shared" si="10"/>
        <v>0.20103165760878752</v>
      </c>
      <c r="F40" s="59">
        <f t="shared" si="10"/>
        <v>0.19798839225908504</v>
      </c>
      <c r="G40" s="59">
        <f t="shared" si="10"/>
        <v>0.1952674107414521</v>
      </c>
      <c r="H40" s="59">
        <f t="shared" si="10"/>
        <v>0.19231231421867315</v>
      </c>
      <c r="I40" s="59">
        <f t="shared" si="10"/>
        <v>0.18947201191268306</v>
      </c>
      <c r="J40" s="59">
        <f t="shared" si="10"/>
        <v>0.18675274158989441</v>
      </c>
      <c r="K40" s="59">
        <f t="shared" si="10"/>
        <v>0.18415888633167873</v>
      </c>
      <c r="L40" s="59">
        <f t="shared" si="10"/>
        <v>0.18169324565390568</v>
      </c>
      <c r="M40" s="59">
        <f>IF('Input Sheet'!B41="Yes",'Input Sheet'!B42,'Valuation Output'!L12)</f>
        <v>8.7699999999999986E-2</v>
      </c>
    </row>
  </sheetData>
  <pageMargins left="0.7" right="0.7" top="0.75" bottom="0.75" header="0.3" footer="0.3"/>
  <drawing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0366E8-3839-44BD-870B-1E33A5D87A7F}">
  <sheetPr>
    <tabColor theme="4" tint="0.39997558519241921"/>
  </sheetPr>
  <dimension ref="A4:X104"/>
  <sheetViews>
    <sheetView topLeftCell="A29" workbookViewId="0">
      <selection activeCell="K51" sqref="K51"/>
    </sheetView>
  </sheetViews>
  <sheetFormatPr defaultRowHeight="15"/>
  <cols>
    <col min="3" max="3" width="11.7109375" customWidth="1"/>
    <col min="5" max="5" width="8.85546875" customWidth="1"/>
    <col min="9" max="9" width="10.5703125" bestFit="1" customWidth="1"/>
    <col min="11" max="11" width="11.28515625" bestFit="1" customWidth="1"/>
    <col min="22" max="22" width="9.28515625" bestFit="1" customWidth="1"/>
    <col min="23" max="23" width="16.85546875" bestFit="1" customWidth="1"/>
    <col min="24" max="24" width="20.42578125" bestFit="1" customWidth="1"/>
  </cols>
  <sheetData>
    <row r="4" spans="16:24">
      <c r="Q4" t="s">
        <v>628</v>
      </c>
    </row>
    <row r="5" spans="16:24">
      <c r="S5" t="s">
        <v>630</v>
      </c>
      <c r="T5" t="s">
        <v>631</v>
      </c>
    </row>
    <row r="6" spans="16:24">
      <c r="Q6" s="1" t="s">
        <v>629</v>
      </c>
      <c r="S6" s="34" t="str">
        <f>IF(V7&gt;W7,"Yes","No")</f>
        <v>No</v>
      </c>
      <c r="T6" s="34" t="str">
        <f>IF(V7&gt;X7,"Yes","No")</f>
        <v>No</v>
      </c>
      <c r="V6" t="str">
        <f>'Input Sheet'!I21</f>
        <v>Company</v>
      </c>
      <c r="W6" t="str">
        <f>'Input Sheet'!J21</f>
        <v>Industry (US data)</v>
      </c>
      <c r="X6" t="str">
        <f>'Input Sheet'!K21</f>
        <v>Industry (Global data)</v>
      </c>
    </row>
    <row r="7" spans="16:24">
      <c r="Q7" t="str">
        <f>'Input Sheet'!E22</f>
        <v>Revenue growth in the most recent year =</v>
      </c>
      <c r="V7" s="3">
        <f>'Input Sheet'!I22</f>
        <v>-9.1009645778371673E-2</v>
      </c>
      <c r="W7" s="3">
        <f>'Input Sheet'!J22</f>
        <v>0.17119444444444448</v>
      </c>
      <c r="X7" s="3">
        <f>'Input Sheet'!K22</f>
        <v>8.8188805970149248E-2</v>
      </c>
    </row>
    <row r="9" spans="16:24">
      <c r="Q9" s="1" t="s">
        <v>632</v>
      </c>
      <c r="S9" s="34" t="str">
        <f>IF(V10&lt;W10,"Yes","No")</f>
        <v>Yes</v>
      </c>
      <c r="T9" s="34" t="str">
        <f>IF(V10&lt;X10,"Yes","No")</f>
        <v>Yes</v>
      </c>
    </row>
    <row r="10" spans="16:24">
      <c r="Q10" t="s">
        <v>633</v>
      </c>
      <c r="V10" s="3">
        <f>'Valuation Output'!M12</f>
        <v>8.77E-2</v>
      </c>
      <c r="W10" s="3">
        <f>'Input Sheet'!J27</f>
        <v>9.7032092787248961E-2</v>
      </c>
      <c r="X10" s="3">
        <f>'Input Sheet'!K27</f>
        <v>9.3315087519029755E-2</v>
      </c>
    </row>
    <row r="12" spans="16:24">
      <c r="P12" s="83" t="s">
        <v>634</v>
      </c>
    </row>
    <row r="14" spans="16:24">
      <c r="Q14" s="1" t="s">
        <v>635</v>
      </c>
      <c r="S14" s="34" t="str">
        <f>IF(V15&lt;W15,"Yes","No")</f>
        <v>No</v>
      </c>
      <c r="T14" s="34" t="str">
        <f>IF(V15&lt;X15,"Yes","No")</f>
        <v>No</v>
      </c>
    </row>
    <row r="15" spans="16:24">
      <c r="Q15" t="str">
        <f>'Input Sheet'!A25</f>
        <v>Sales to capital ratio  (for computing reinvestment) =</v>
      </c>
      <c r="V15" s="65">
        <f>'Input Sheet'!B25</f>
        <v>7</v>
      </c>
      <c r="W15" s="65">
        <f>'Input Sheet'!J24</f>
        <v>3.2313109542113141</v>
      </c>
      <c r="X15" s="65">
        <f>'Input Sheet'!K24</f>
        <v>3.174007342761481</v>
      </c>
    </row>
    <row r="16" spans="16:24">
      <c r="P16" s="83" t="s">
        <v>638</v>
      </c>
    </row>
    <row r="17" spans="1:20">
      <c r="Q17" s="1" t="s">
        <v>636</v>
      </c>
      <c r="S17" s="34" t="str">
        <f>IF(V15&gt;W15,"Yes","No")</f>
        <v>Yes</v>
      </c>
      <c r="T17" s="34" t="str">
        <f>IF(V15&gt;X15,"Yes","No")</f>
        <v>Yes</v>
      </c>
    </row>
    <row r="18" spans="1:20">
      <c r="P18" s="83" t="s">
        <v>637</v>
      </c>
    </row>
    <row r="19" spans="1:20">
      <c r="P19" s="83" t="s">
        <v>648</v>
      </c>
    </row>
    <row r="20" spans="1:20">
      <c r="P20" s="83" t="s">
        <v>649</v>
      </c>
    </row>
    <row r="27" spans="1:20">
      <c r="A27" t="s">
        <v>618</v>
      </c>
      <c r="C27" s="79">
        <f>'Valuation Output'!M3</f>
        <v>30643.534467894089</v>
      </c>
      <c r="E27" s="83" t="s">
        <v>621</v>
      </c>
    </row>
    <row r="28" spans="1:20">
      <c r="A28" t="s">
        <v>619</v>
      </c>
      <c r="C28" s="3">
        <f>'Valuation Output'!M2</f>
        <v>4.2700000000000002E-2</v>
      </c>
      <c r="E28" s="83" t="s">
        <v>620</v>
      </c>
    </row>
    <row r="29" spans="1:20">
      <c r="A29" s="7" t="s">
        <v>623</v>
      </c>
      <c r="B29" s="8"/>
      <c r="C29" s="8"/>
      <c r="D29" s="8"/>
      <c r="E29" s="8"/>
      <c r="F29" s="8"/>
      <c r="G29" s="8"/>
      <c r="H29" s="8"/>
      <c r="I29" s="8"/>
      <c r="J29" s="8"/>
      <c r="K29" s="8"/>
      <c r="L29" s="9"/>
    </row>
    <row r="30" spans="1:20">
      <c r="A30" s="5"/>
      <c r="B30" s="80">
        <f>('Valuation Output'!C7-'Valuation Output'!B7)/'Valuation Output'!B7</f>
        <v>1.1603221270612087E-2</v>
      </c>
      <c r="C30" s="80">
        <f>('Valuation Output'!D7-'Valuation Output'!C7)/'Valuation Output'!C7</f>
        <v>1.1470130804880577E-2</v>
      </c>
      <c r="D30" s="80">
        <f>('Valuation Output'!E7-'Valuation Output'!D7)/'Valuation Output'!D7</f>
        <v>4.6736960906205084E-2</v>
      </c>
      <c r="E30" s="80">
        <f>('Valuation Output'!F7-'Valuation Output'!E7)/'Valuation Output'!E7</f>
        <v>4.6605355491990512E-2</v>
      </c>
      <c r="F30" s="80">
        <f>('Valuation Output'!G7-'Valuation Output'!F7)/'Valuation Output'!F7</f>
        <v>4.6476668709156219E-2</v>
      </c>
      <c r="G30" s="80">
        <f>('Valuation Output'!H7-'Valuation Output'!G7)/'Valuation Output'!G7</f>
        <v>4.6105395407330434E-2</v>
      </c>
      <c r="H30" s="80">
        <f>('Valuation Output'!I7-'Valuation Output'!H7)/'Valuation Output'!H7</f>
        <v>4.7533210018717111E-2</v>
      </c>
      <c r="I30" s="80">
        <f>('Valuation Output'!J7-'Valuation Output'!I7)/'Valuation Output'!I7</f>
        <v>4.8963289641441941E-2</v>
      </c>
      <c r="J30" s="80">
        <f>('Valuation Output'!K7-'Valuation Output'!J7)/'Valuation Output'!J7</f>
        <v>5.0395561395365919E-2</v>
      </c>
      <c r="K30" s="80">
        <f>('Valuation Output'!L7-'Valuation Output'!K7)/'Valuation Output'!K7</f>
        <v>5.1829955458065194E-2</v>
      </c>
      <c r="L30" s="81">
        <f>('Valuation Output'!M7-'Valuation Output'!L7)/'Valuation Output'!L7</f>
        <v>4.2699999999999919E-2</v>
      </c>
      <c r="M30" s="67"/>
    </row>
    <row r="31" spans="1:20">
      <c r="A31" s="5" t="s">
        <v>622</v>
      </c>
      <c r="L31" s="10"/>
    </row>
    <row r="32" spans="1:20">
      <c r="A32" s="5"/>
      <c r="B32" s="3">
        <f>'Valuation Output'!C2</f>
        <v>0</v>
      </c>
      <c r="C32" s="3">
        <f>'Valuation Output'!D2</f>
        <v>0</v>
      </c>
      <c r="D32" s="3">
        <f>'Valuation Output'!E2</f>
        <v>3.5000000000000003E-2</v>
      </c>
      <c r="E32" s="3">
        <f>'Valuation Output'!F2</f>
        <v>3.5000000000000003E-2</v>
      </c>
      <c r="F32" s="3">
        <f>'Valuation Output'!G2</f>
        <v>3.5000000000000003E-2</v>
      </c>
      <c r="G32" s="3">
        <f>'Valuation Output'!H2</f>
        <v>3.6540000000000003E-2</v>
      </c>
      <c r="H32" s="3">
        <f>'Valuation Output'!I2</f>
        <v>3.8080000000000003E-2</v>
      </c>
      <c r="I32" s="3">
        <f>'Valuation Output'!J2</f>
        <v>3.9620000000000002E-2</v>
      </c>
      <c r="J32" s="3">
        <f>'Valuation Output'!K2</f>
        <v>4.1160000000000002E-2</v>
      </c>
      <c r="K32" s="3">
        <f>'Valuation Output'!L2</f>
        <v>4.2700000000000002E-2</v>
      </c>
      <c r="L32" s="82">
        <f>'Valuation Output'!M2</f>
        <v>4.2700000000000002E-2</v>
      </c>
    </row>
    <row r="33" spans="1:12">
      <c r="A33" s="5" t="s">
        <v>624</v>
      </c>
      <c r="L33" s="10"/>
    </row>
    <row r="34" spans="1:12">
      <c r="A34" s="5"/>
      <c r="B34" s="3">
        <f>B30-B32</f>
        <v>1.1603221270612087E-2</v>
      </c>
      <c r="C34" s="3">
        <f t="shared" ref="C34:L34" si="0">C30-C32</f>
        <v>1.1470130804880577E-2</v>
      </c>
      <c r="D34" s="3">
        <f t="shared" si="0"/>
        <v>1.1736960906205081E-2</v>
      </c>
      <c r="E34" s="3">
        <f t="shared" si="0"/>
        <v>1.1605355491990509E-2</v>
      </c>
      <c r="F34" s="3">
        <f t="shared" si="0"/>
        <v>1.1476668709156215E-2</v>
      </c>
      <c r="G34" s="3">
        <f t="shared" si="0"/>
        <v>9.5653954073304306E-3</v>
      </c>
      <c r="H34" s="3">
        <f t="shared" si="0"/>
        <v>9.4532100187171078E-3</v>
      </c>
      <c r="I34" s="3">
        <f t="shared" si="0"/>
        <v>9.3432896414419389E-3</v>
      </c>
      <c r="J34" s="3">
        <f t="shared" si="0"/>
        <v>9.2355613953659169E-3</v>
      </c>
      <c r="K34" s="3">
        <f t="shared" si="0"/>
        <v>9.129955458065192E-3</v>
      </c>
      <c r="L34" s="82">
        <f t="shared" si="0"/>
        <v>-8.3266726846886741E-17</v>
      </c>
    </row>
    <row r="35" spans="1:12">
      <c r="A35" s="5"/>
      <c r="L35" s="10"/>
    </row>
    <row r="36" spans="1:12">
      <c r="A36" s="84" t="s">
        <v>625</v>
      </c>
      <c r="B36" s="11"/>
      <c r="C36" s="11"/>
      <c r="D36" s="11"/>
      <c r="E36" s="11"/>
      <c r="F36" s="11"/>
      <c r="G36" s="11"/>
      <c r="H36" s="11"/>
      <c r="I36" s="11"/>
      <c r="J36" s="11"/>
      <c r="K36" s="11"/>
      <c r="L36" s="12"/>
    </row>
    <row r="41" spans="1:12">
      <c r="I41" s="94" t="s">
        <v>662</v>
      </c>
      <c r="J41" s="8"/>
      <c r="K41" s="9"/>
    </row>
    <row r="42" spans="1:12">
      <c r="I42" s="5"/>
      <c r="K42" s="10"/>
    </row>
    <row r="43" spans="1:12">
      <c r="A43" s="1" t="s">
        <v>647</v>
      </c>
      <c r="I43" s="5" t="s">
        <v>652</v>
      </c>
      <c r="K43" s="10">
        <v>968</v>
      </c>
    </row>
    <row r="44" spans="1:12">
      <c r="I44" s="5" t="s">
        <v>653</v>
      </c>
      <c r="K44" s="10">
        <v>613</v>
      </c>
    </row>
    <row r="45" spans="1:12">
      <c r="A45" t="s">
        <v>639</v>
      </c>
      <c r="C45" s="79">
        <f>'Valuation Output'!B34</f>
        <v>363.23</v>
      </c>
      <c r="I45" s="5" t="s">
        <v>654</v>
      </c>
      <c r="K45" s="10">
        <v>559</v>
      </c>
    </row>
    <row r="46" spans="1:12">
      <c r="A46" t="s">
        <v>513</v>
      </c>
      <c r="C46" s="79">
        <f>'Valuation Output'!B33</f>
        <v>273.82329326644964</v>
      </c>
      <c r="I46" s="5" t="s">
        <v>655</v>
      </c>
      <c r="K46" s="95">
        <f>AVERAGE(K43:K45)</f>
        <v>713.33333333333337</v>
      </c>
    </row>
    <row r="47" spans="1:12">
      <c r="A47" t="s">
        <v>640</v>
      </c>
      <c r="C47" s="3">
        <f>'Cost of capital worksheet'!B48</f>
        <v>0.10233721358634609</v>
      </c>
      <c r="I47" s="5"/>
      <c r="K47" s="10"/>
    </row>
    <row r="48" spans="1:12">
      <c r="A48" t="s">
        <v>641</v>
      </c>
      <c r="C48" s="3">
        <f>'Option value'!D6</f>
        <v>4.4999999999999997E-3</v>
      </c>
      <c r="I48" s="5" t="s">
        <v>656</v>
      </c>
      <c r="K48" s="10">
        <v>311</v>
      </c>
    </row>
    <row r="49" spans="1:11">
      <c r="A49" t="s">
        <v>642</v>
      </c>
      <c r="C49" s="3">
        <f>C47-C48</f>
        <v>9.7837213586346089E-2</v>
      </c>
      <c r="I49" s="5" t="s">
        <v>657</v>
      </c>
      <c r="K49" s="10">
        <v>208</v>
      </c>
    </row>
    <row r="50" spans="1:11">
      <c r="D50" t="s">
        <v>645</v>
      </c>
      <c r="E50" t="s">
        <v>646</v>
      </c>
      <c r="I50" s="5" t="s">
        <v>658</v>
      </c>
      <c r="K50" s="10">
        <v>265</v>
      </c>
    </row>
    <row r="51" spans="1:11">
      <c r="A51" t="s">
        <v>643</v>
      </c>
      <c r="C51" s="100">
        <f>C46*(1+(C47-C48))^1</f>
        <v>300.61340129467595</v>
      </c>
      <c r="D51" s="88">
        <f>(C51-$C$45)/$C$45</f>
        <v>-0.17238829035411188</v>
      </c>
      <c r="E51" s="3">
        <f>D51+C48</f>
        <v>-0.16788829035411187</v>
      </c>
      <c r="I51" s="5" t="s">
        <v>655</v>
      </c>
      <c r="K51" s="95">
        <f>AVERAGE(K48:K50)</f>
        <v>261.33333333333331</v>
      </c>
    </row>
    <row r="52" spans="1:11">
      <c r="A52" t="s">
        <v>644</v>
      </c>
      <c r="C52" s="100">
        <f>C46*(1+(C47-C48))^2</f>
        <v>330.02457884406112</v>
      </c>
      <c r="D52" s="88">
        <f>(C52-$C$45)/$C$45</f>
        <v>-9.1417066750926118E-2</v>
      </c>
      <c r="E52" s="3">
        <f>D52+C48</f>
        <v>-8.6917066750926114E-2</v>
      </c>
      <c r="I52" s="5"/>
      <c r="K52" s="10"/>
    </row>
    <row r="53" spans="1:11">
      <c r="I53" s="5" t="s">
        <v>659</v>
      </c>
      <c r="K53" s="95">
        <f>K46-K51</f>
        <v>452.00000000000006</v>
      </c>
    </row>
    <row r="54" spans="1:11">
      <c r="I54" s="5" t="s">
        <v>660</v>
      </c>
      <c r="K54" s="96">
        <f>K53/K51</f>
        <v>1.7295918367346943</v>
      </c>
    </row>
    <row r="55" spans="1:11">
      <c r="I55" s="5"/>
      <c r="K55" s="10"/>
    </row>
    <row r="56" spans="1:11">
      <c r="I56" s="5" t="s">
        <v>661</v>
      </c>
      <c r="K56" s="10"/>
    </row>
    <row r="57" spans="1:11">
      <c r="I57" s="97">
        <f>AVERAGE('Valuation Output'!K5:M5)</f>
        <v>1172.3236225537848</v>
      </c>
      <c r="K57" s="10"/>
    </row>
    <row r="58" spans="1:11">
      <c r="I58" s="5" t="s">
        <v>659</v>
      </c>
      <c r="K58" s="98">
        <f>I57-K46</f>
        <v>458.99028922045147</v>
      </c>
    </row>
    <row r="59" spans="1:11">
      <c r="I59" s="6" t="s">
        <v>660</v>
      </c>
      <c r="J59" s="11"/>
      <c r="K59" s="99">
        <f>K58/K46</f>
        <v>0.64344433068287588</v>
      </c>
    </row>
    <row r="100" spans="9:13">
      <c r="I100" s="141" t="s">
        <v>664</v>
      </c>
      <c r="J100" s="141"/>
      <c r="K100" s="141"/>
      <c r="L100" s="141"/>
      <c r="M100" s="141"/>
    </row>
    <row r="101" spans="9:13">
      <c r="I101" s="108"/>
      <c r="J101" s="108" t="s">
        <v>665</v>
      </c>
      <c r="K101" s="108" t="s">
        <v>666</v>
      </c>
      <c r="M101" s="1" t="s">
        <v>663</v>
      </c>
    </row>
    <row r="102" spans="9:13">
      <c r="I102" s="108"/>
      <c r="J102" s="109">
        <v>1689</v>
      </c>
      <c r="K102" s="109">
        <v>1620</v>
      </c>
      <c r="M102">
        <f>'TTM Calc'!E7</f>
        <v>0</v>
      </c>
    </row>
    <row r="103" spans="9:13">
      <c r="I103" s="108" t="s">
        <v>667</v>
      </c>
      <c r="J103" s="109">
        <v>13535</v>
      </c>
      <c r="K103" s="109">
        <v>13264</v>
      </c>
      <c r="M103" s="1" t="s">
        <v>671</v>
      </c>
    </row>
    <row r="104" spans="9:13">
      <c r="I104" s="108" t="s">
        <v>668</v>
      </c>
      <c r="J104" s="110">
        <f>J102+J103</f>
        <v>15224</v>
      </c>
      <c r="K104" s="110">
        <f>K102+K103</f>
        <v>14884</v>
      </c>
      <c r="M104">
        <f>'TTM Calc'!E4+'TTM Calc'!E7</f>
        <v>782.3</v>
      </c>
    </row>
  </sheetData>
  <mergeCells count="1">
    <mergeCell ref="I100:M100"/>
  </mergeCells>
  <pageMargins left="0.7" right="0.7" top="0.75" bottom="0.75" header="0.3" footer="0.3"/>
  <pageSetup orientation="portrait" verticalDpi="30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3D3FC7-252B-4EF2-BC63-3A548228F04F}">
  <sheetPr>
    <tabColor theme="4" tint="0.39997558519241921"/>
  </sheetPr>
  <dimension ref="A1:F27"/>
  <sheetViews>
    <sheetView workbookViewId="0">
      <selection activeCell="D7" sqref="D7"/>
    </sheetView>
  </sheetViews>
  <sheetFormatPr defaultRowHeight="15"/>
  <cols>
    <col min="1" max="1" width="49.28515625" bestFit="1" customWidth="1"/>
    <col min="2" max="2" width="7.7109375" bestFit="1" customWidth="1"/>
    <col min="3" max="3" width="11.28515625" customWidth="1"/>
    <col min="4" max="4" width="25.7109375" bestFit="1" customWidth="1"/>
  </cols>
  <sheetData>
    <row r="1" spans="1:6">
      <c r="A1" s="1" t="s">
        <v>384</v>
      </c>
    </row>
    <row r="2" spans="1:6">
      <c r="A2" t="s">
        <v>385</v>
      </c>
      <c r="D2" s="45">
        <f>'Input Sheet'!B19</f>
        <v>363.23</v>
      </c>
    </row>
    <row r="3" spans="1:6">
      <c r="A3" t="s">
        <v>386</v>
      </c>
      <c r="D3" s="52">
        <f>'Input Sheet'!B32</f>
        <v>82.6</v>
      </c>
    </row>
    <row r="4" spans="1:6">
      <c r="A4" t="s">
        <v>387</v>
      </c>
      <c r="D4" s="41">
        <f>'Input Sheet'!B33</f>
        <v>5.6</v>
      </c>
    </row>
    <row r="5" spans="1:6">
      <c r="A5" t="s">
        <v>388</v>
      </c>
      <c r="D5" s="46">
        <f>'Input Sheet'!B34</f>
        <v>0.184</v>
      </c>
    </row>
    <row r="6" spans="1:6">
      <c r="A6" t="s">
        <v>389</v>
      </c>
      <c r="D6" s="55">
        <v>4.4999999999999997E-3</v>
      </c>
    </row>
    <row r="7" spans="1:6">
      <c r="A7" t="s">
        <v>390</v>
      </c>
      <c r="D7" s="46">
        <f>'Input Sheet'!B27</f>
        <v>4.2700000000000002E-2</v>
      </c>
    </row>
    <row r="8" spans="1:6">
      <c r="A8" t="s">
        <v>391</v>
      </c>
      <c r="D8" s="48">
        <f>'Input Sheet'!B31</f>
        <v>3.6</v>
      </c>
    </row>
    <row r="9" spans="1:6">
      <c r="A9" t="s">
        <v>392</v>
      </c>
      <c r="D9" s="41">
        <f>'Input Sheet'!B18</f>
        <v>21.28</v>
      </c>
    </row>
    <row r="11" spans="1:6">
      <c r="A11" t="s">
        <v>393</v>
      </c>
    </row>
    <row r="12" spans="1:6">
      <c r="A12" t="s">
        <v>394</v>
      </c>
    </row>
    <row r="13" spans="1:6">
      <c r="A13" t="s">
        <v>395</v>
      </c>
      <c r="C13" s="45">
        <f>D2</f>
        <v>363.23</v>
      </c>
      <c r="D13" t="s">
        <v>406</v>
      </c>
      <c r="F13" s="48">
        <f>D8</f>
        <v>3.6</v>
      </c>
    </row>
    <row r="14" spans="1:6">
      <c r="A14" t="s">
        <v>396</v>
      </c>
      <c r="C14" s="52">
        <f>D3</f>
        <v>82.6</v>
      </c>
      <c r="D14" t="s">
        <v>407</v>
      </c>
      <c r="F14" s="41">
        <f>D9</f>
        <v>21.28</v>
      </c>
    </row>
    <row r="15" spans="1:6">
      <c r="A15" t="s">
        <v>397</v>
      </c>
      <c r="C15" s="41">
        <f ca="1">(C13*F14+C26*F13)/(F14+F13)</f>
        <v>350.75178048790008</v>
      </c>
      <c r="D15" t="s">
        <v>408</v>
      </c>
      <c r="F15" s="46">
        <f>D7</f>
        <v>4.2700000000000002E-2</v>
      </c>
    </row>
    <row r="16" spans="1:6">
      <c r="A16" t="s">
        <v>398</v>
      </c>
      <c r="C16" s="52">
        <f>C14</f>
        <v>82.6</v>
      </c>
      <c r="D16" t="s">
        <v>409</v>
      </c>
      <c r="F16" s="41">
        <f>D5^2</f>
        <v>3.3855999999999997E-2</v>
      </c>
    </row>
    <row r="17" spans="1:6">
      <c r="A17" t="s">
        <v>399</v>
      </c>
      <c r="C17" s="41">
        <f>D4</f>
        <v>5.6</v>
      </c>
      <c r="D17" t="s">
        <v>410</v>
      </c>
      <c r="F17" s="41">
        <f>D6</f>
        <v>4.4999999999999997E-3</v>
      </c>
    </row>
    <row r="18" spans="1:6">
      <c r="D18" t="s">
        <v>411</v>
      </c>
      <c r="F18" s="46">
        <f>F15-F17</f>
        <v>3.8200000000000005E-2</v>
      </c>
    </row>
    <row r="20" spans="1:6">
      <c r="A20" t="s">
        <v>400</v>
      </c>
      <c r="B20" s="41">
        <f ca="1">(LN(C15/C16)+(F18+(F16/2))*C17)/(((F16)^(0.5))*(C17^0.5))</f>
        <v>4.0300673421845055</v>
      </c>
    </row>
    <row r="21" spans="1:6">
      <c r="A21" t="s">
        <v>401</v>
      </c>
      <c r="B21" s="41">
        <f ca="1">NORMSDIST(B20)</f>
        <v>0.99997211956217846</v>
      </c>
    </row>
    <row r="23" spans="1:6">
      <c r="A23" t="s">
        <v>402</v>
      </c>
      <c r="B23" s="41">
        <f ca="1">B20-((F16^0.5)*(C17^(0.5)))</f>
        <v>3.5946438701483738</v>
      </c>
    </row>
    <row r="24" spans="1:6">
      <c r="A24" t="s">
        <v>403</v>
      </c>
      <c r="B24" s="41">
        <f ca="1">NORMSDIST(B23)</f>
        <v>0.99983758219769769</v>
      </c>
    </row>
    <row r="26" spans="1:6">
      <c r="A26" t="s">
        <v>404</v>
      </c>
      <c r="C26" s="41">
        <f ca="1">((EXP((0-F17)*C17))*C15*B21-C16*(EXP((0-F15)*C17))*B24)</f>
        <v>276.9916384830471</v>
      </c>
    </row>
    <row r="27" spans="1:6">
      <c r="A27" t="s">
        <v>405</v>
      </c>
      <c r="D27" s="41">
        <f ca="1">C26*D8</f>
        <v>997.16989853896962</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3E9694-F72E-4A54-A328-B71ED38D8868}">
  <sheetPr>
    <tabColor theme="4" tint="0.39997558519241921"/>
  </sheetPr>
  <dimension ref="A1:G40"/>
  <sheetViews>
    <sheetView workbookViewId="0"/>
  </sheetViews>
  <sheetFormatPr defaultRowHeight="15"/>
  <cols>
    <col min="2" max="2" width="17.28515625" customWidth="1"/>
    <col min="3" max="3" width="18.42578125" customWidth="1"/>
    <col min="4" max="4" width="12.140625" customWidth="1"/>
    <col min="5" max="5" width="12.5703125" customWidth="1"/>
  </cols>
  <sheetData>
    <row r="1" spans="1:7">
      <c r="A1" s="1" t="s">
        <v>412</v>
      </c>
    </row>
    <row r="2" spans="1:7">
      <c r="A2" t="s">
        <v>413</v>
      </c>
    </row>
    <row r="3" spans="1:7">
      <c r="A3" t="s">
        <v>414</v>
      </c>
    </row>
    <row r="5" spans="1:7">
      <c r="A5" t="s">
        <v>415</v>
      </c>
    </row>
    <row r="6" spans="1:7">
      <c r="A6" t="s">
        <v>416</v>
      </c>
      <c r="F6" s="24">
        <v>2</v>
      </c>
      <c r="G6" s="13" t="s">
        <v>431</v>
      </c>
    </row>
    <row r="7" spans="1:7">
      <c r="A7" t="s">
        <v>417</v>
      </c>
      <c r="F7" s="24">
        <v>69.400000000000006</v>
      </c>
      <c r="G7" s="13" t="s">
        <v>432</v>
      </c>
    </row>
    <row r="8" spans="1:7">
      <c r="A8" t="s">
        <v>418</v>
      </c>
    </row>
    <row r="9" spans="1:7">
      <c r="A9" t="s">
        <v>419</v>
      </c>
    </row>
    <row r="10" spans="1:7">
      <c r="A10" s="1" t="s">
        <v>420</v>
      </c>
      <c r="B10" s="1" t="s">
        <v>435</v>
      </c>
    </row>
    <row r="11" spans="1:7">
      <c r="A11" s="1">
        <v>-1</v>
      </c>
      <c r="B11" s="24">
        <v>66.099999999999994</v>
      </c>
      <c r="C11" s="14" t="s">
        <v>433</v>
      </c>
    </row>
    <row r="12" spans="1:7">
      <c r="A12" s="1">
        <f t="shared" ref="A12:A20" si="0">IF((0-A11)&lt;$F$6,IF(A11&gt;-1,,A11-1),)</f>
        <v>-2</v>
      </c>
      <c r="B12" s="24">
        <v>61</v>
      </c>
      <c r="C12" s="14" t="s">
        <v>434</v>
      </c>
    </row>
    <row r="13" spans="1:7">
      <c r="A13" s="1">
        <f t="shared" si="0"/>
        <v>0</v>
      </c>
      <c r="B13" s="24"/>
    </row>
    <row r="14" spans="1:7">
      <c r="A14" s="1">
        <f t="shared" si="0"/>
        <v>0</v>
      </c>
      <c r="B14" s="24"/>
    </row>
    <row r="15" spans="1:7">
      <c r="A15" s="1">
        <f t="shared" si="0"/>
        <v>0</v>
      </c>
      <c r="B15" s="24"/>
    </row>
    <row r="16" spans="1:7">
      <c r="A16" s="1">
        <f t="shared" si="0"/>
        <v>0</v>
      </c>
      <c r="B16" s="24"/>
    </row>
    <row r="17" spans="1:5">
      <c r="A17" s="1">
        <f t="shared" si="0"/>
        <v>0</v>
      </c>
      <c r="B17" s="24"/>
    </row>
    <row r="18" spans="1:5">
      <c r="A18" s="1">
        <f t="shared" si="0"/>
        <v>0</v>
      </c>
      <c r="B18" s="24"/>
    </row>
    <row r="19" spans="1:5">
      <c r="A19" s="1">
        <f t="shared" si="0"/>
        <v>0</v>
      </c>
      <c r="B19" s="24"/>
    </row>
    <row r="20" spans="1:5">
      <c r="A20" s="1">
        <f t="shared" si="0"/>
        <v>0</v>
      </c>
      <c r="B20" s="24"/>
    </row>
    <row r="22" spans="1:5">
      <c r="A22" t="s">
        <v>421</v>
      </c>
    </row>
    <row r="23" spans="1:5">
      <c r="A23" t="s">
        <v>420</v>
      </c>
      <c r="B23" t="s">
        <v>427</v>
      </c>
      <c r="C23" t="s">
        <v>428</v>
      </c>
      <c r="E23" t="s">
        <v>429</v>
      </c>
    </row>
    <row r="24" spans="1:5">
      <c r="A24" t="s">
        <v>422</v>
      </c>
      <c r="B24" s="41">
        <f>F7</f>
        <v>69.400000000000006</v>
      </c>
      <c r="C24" s="41">
        <f>1</f>
        <v>1</v>
      </c>
      <c r="D24" s="41">
        <f t="shared" ref="D24:D34" si="1">B24*C24</f>
        <v>69.400000000000006</v>
      </c>
    </row>
    <row r="25" spans="1:5">
      <c r="A25" s="1">
        <f t="shared" ref="A25:B34" si="2">A11</f>
        <v>-1</v>
      </c>
      <c r="B25" s="41">
        <f t="shared" si="2"/>
        <v>66.099999999999994</v>
      </c>
      <c r="C25" s="41">
        <f t="shared" ref="C25:C34" si="3">IF(A25&lt;0,($F$6+A25)/$F$6,0)</f>
        <v>0.5</v>
      </c>
      <c r="D25" s="41">
        <f t="shared" si="1"/>
        <v>33.049999999999997</v>
      </c>
      <c r="E25" s="41">
        <f t="shared" ref="E25:E34" si="4">IF(A25&lt;0,B25/$F$6,0)</f>
        <v>33.049999999999997</v>
      </c>
    </row>
    <row r="26" spans="1:5">
      <c r="A26" s="1">
        <f t="shared" si="2"/>
        <v>-2</v>
      </c>
      <c r="B26" s="41">
        <f t="shared" si="2"/>
        <v>61</v>
      </c>
      <c r="C26" s="41">
        <f t="shared" si="3"/>
        <v>0</v>
      </c>
      <c r="D26" s="41">
        <f t="shared" si="1"/>
        <v>0</v>
      </c>
      <c r="E26" s="41">
        <f t="shared" si="4"/>
        <v>30.5</v>
      </c>
    </row>
    <row r="27" spans="1:5">
      <c r="A27" s="1">
        <f t="shared" si="2"/>
        <v>0</v>
      </c>
      <c r="B27" s="41">
        <f t="shared" si="2"/>
        <v>0</v>
      </c>
      <c r="C27" s="41">
        <f t="shared" si="3"/>
        <v>0</v>
      </c>
      <c r="D27" s="41">
        <f t="shared" si="1"/>
        <v>0</v>
      </c>
      <c r="E27" s="41">
        <f t="shared" si="4"/>
        <v>0</v>
      </c>
    </row>
    <row r="28" spans="1:5">
      <c r="A28" s="1">
        <f t="shared" si="2"/>
        <v>0</v>
      </c>
      <c r="B28" s="41">
        <f t="shared" si="2"/>
        <v>0</v>
      </c>
      <c r="C28" s="41">
        <f t="shared" si="3"/>
        <v>0</v>
      </c>
      <c r="D28" s="41">
        <f t="shared" si="1"/>
        <v>0</v>
      </c>
      <c r="E28" s="41">
        <f t="shared" si="4"/>
        <v>0</v>
      </c>
    </row>
    <row r="29" spans="1:5">
      <c r="A29" s="1">
        <f t="shared" si="2"/>
        <v>0</v>
      </c>
      <c r="B29" s="41">
        <f t="shared" si="2"/>
        <v>0</v>
      </c>
      <c r="C29" s="41">
        <f t="shared" si="3"/>
        <v>0</v>
      </c>
      <c r="D29" s="41">
        <f t="shared" si="1"/>
        <v>0</v>
      </c>
      <c r="E29" s="41">
        <f t="shared" si="4"/>
        <v>0</v>
      </c>
    </row>
    <row r="30" spans="1:5">
      <c r="A30" s="1">
        <f t="shared" si="2"/>
        <v>0</v>
      </c>
      <c r="B30" s="41">
        <f t="shared" si="2"/>
        <v>0</v>
      </c>
      <c r="C30" s="41">
        <f t="shared" si="3"/>
        <v>0</v>
      </c>
      <c r="D30" s="41">
        <f t="shared" si="1"/>
        <v>0</v>
      </c>
      <c r="E30" s="41">
        <f t="shared" si="4"/>
        <v>0</v>
      </c>
    </row>
    <row r="31" spans="1:5">
      <c r="A31" s="1">
        <f t="shared" si="2"/>
        <v>0</v>
      </c>
      <c r="B31" s="41">
        <f t="shared" si="2"/>
        <v>0</v>
      </c>
      <c r="C31" s="41">
        <f t="shared" si="3"/>
        <v>0</v>
      </c>
      <c r="D31" s="41">
        <f t="shared" si="1"/>
        <v>0</v>
      </c>
      <c r="E31" s="41">
        <f t="shared" si="4"/>
        <v>0</v>
      </c>
    </row>
    <row r="32" spans="1:5">
      <c r="A32" s="1">
        <f t="shared" si="2"/>
        <v>0</v>
      </c>
      <c r="B32" s="41">
        <f t="shared" si="2"/>
        <v>0</v>
      </c>
      <c r="C32" s="41">
        <f t="shared" si="3"/>
        <v>0</v>
      </c>
      <c r="D32" s="41">
        <f t="shared" si="1"/>
        <v>0</v>
      </c>
      <c r="E32" s="41">
        <f t="shared" si="4"/>
        <v>0</v>
      </c>
    </row>
    <row r="33" spans="1:5">
      <c r="A33" s="1">
        <f t="shared" si="2"/>
        <v>0</v>
      </c>
      <c r="B33" s="41">
        <f t="shared" si="2"/>
        <v>0</v>
      </c>
      <c r="C33" s="41">
        <f t="shared" si="3"/>
        <v>0</v>
      </c>
      <c r="D33" s="41">
        <f t="shared" si="1"/>
        <v>0</v>
      </c>
      <c r="E33" s="41">
        <f t="shared" si="4"/>
        <v>0</v>
      </c>
    </row>
    <row r="34" spans="1:5">
      <c r="A34" s="1">
        <f t="shared" si="2"/>
        <v>0</v>
      </c>
      <c r="B34" s="41">
        <f t="shared" si="2"/>
        <v>0</v>
      </c>
      <c r="C34" s="41">
        <f t="shared" si="3"/>
        <v>0</v>
      </c>
      <c r="D34" s="41">
        <f t="shared" si="1"/>
        <v>0</v>
      </c>
      <c r="E34" s="41">
        <f t="shared" si="4"/>
        <v>0</v>
      </c>
    </row>
    <row r="35" spans="1:5">
      <c r="A35" t="s">
        <v>423</v>
      </c>
      <c r="D35" s="41">
        <f>SUM(D24:D34)</f>
        <v>102.45</v>
      </c>
      <c r="E35" s="41">
        <f>SUM(E25:E34)</f>
        <v>63.55</v>
      </c>
    </row>
    <row r="37" spans="1:5">
      <c r="A37" t="s">
        <v>424</v>
      </c>
      <c r="D37" s="41">
        <f>E35</f>
        <v>63.55</v>
      </c>
    </row>
    <row r="39" spans="1:5">
      <c r="A39" t="s">
        <v>425</v>
      </c>
      <c r="D39" s="41">
        <f>F7-D37</f>
        <v>5.8500000000000085</v>
      </c>
      <c r="E39" t="s">
        <v>430</v>
      </c>
    </row>
    <row r="40" spans="1:5">
      <c r="A40" t="s">
        <v>426</v>
      </c>
      <c r="D40" s="41">
        <f>D39*'Input Sheet'!B21</f>
        <v>1.4625000000000021</v>
      </c>
    </row>
  </sheetData>
  <pageMargins left="0.7" right="0.7" top="0.75" bottom="0.75" header="0.3" footer="0.3"/>
  <pageSetup orientation="portrait" r:id="rId1"/>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143874-924C-4447-9BCC-1280FB8464E3}">
  <sheetPr>
    <tabColor theme="4" tint="0.39997558519241921"/>
  </sheetPr>
  <dimension ref="A1:G34"/>
  <sheetViews>
    <sheetView workbookViewId="0">
      <selection activeCell="B13" sqref="B13"/>
    </sheetView>
  </sheetViews>
  <sheetFormatPr defaultRowHeight="15"/>
  <cols>
    <col min="1" max="1" width="18.140625" customWidth="1"/>
    <col min="2" max="2" width="16.28515625" customWidth="1"/>
    <col min="4" max="4" width="12.140625" customWidth="1"/>
  </cols>
  <sheetData>
    <row r="1" spans="1:5">
      <c r="A1" s="1" t="s">
        <v>458</v>
      </c>
    </row>
    <row r="2" spans="1:5">
      <c r="A2" t="s">
        <v>459</v>
      </c>
    </row>
    <row r="3" spans="1:5">
      <c r="A3" t="s">
        <v>415</v>
      </c>
    </row>
    <row r="4" spans="1:5">
      <c r="A4" t="s">
        <v>436</v>
      </c>
      <c r="E4" s="24">
        <v>49</v>
      </c>
    </row>
    <row r="5" spans="1:5">
      <c r="A5" t="s">
        <v>437</v>
      </c>
    </row>
    <row r="6" spans="1:5">
      <c r="A6" s="1" t="s">
        <v>420</v>
      </c>
      <c r="B6" s="1" t="s">
        <v>448</v>
      </c>
      <c r="C6" t="s">
        <v>449</v>
      </c>
    </row>
    <row r="7" spans="1:5">
      <c r="A7" s="1">
        <v>1</v>
      </c>
      <c r="B7" s="24">
        <v>46.8</v>
      </c>
    </row>
    <row r="8" spans="1:5">
      <c r="A8" s="1">
        <v>2</v>
      </c>
      <c r="B8" s="24">
        <v>45.2</v>
      </c>
    </row>
    <row r="9" spans="1:5">
      <c r="A9" s="1">
        <v>3</v>
      </c>
      <c r="B9" s="24">
        <v>39.5</v>
      </c>
    </row>
    <row r="10" spans="1:5">
      <c r="A10" s="1">
        <v>4</v>
      </c>
      <c r="B10" s="24">
        <v>35.9</v>
      </c>
    </row>
    <row r="11" spans="1:5">
      <c r="A11" s="1">
        <v>5</v>
      </c>
      <c r="B11" s="24">
        <v>34.700000000000003</v>
      </c>
    </row>
    <row r="12" spans="1:5">
      <c r="A12" s="1" t="s">
        <v>438</v>
      </c>
      <c r="B12" s="24">
        <v>204.4</v>
      </c>
    </row>
    <row r="14" spans="1:5">
      <c r="A14" s="1" t="s">
        <v>421</v>
      </c>
    </row>
    <row r="15" spans="1:5">
      <c r="A15" s="1" t="s">
        <v>439</v>
      </c>
      <c r="C15" s="46">
        <f>'Synthetic rating'!D13</f>
        <v>5.1200000000000002E-2</v>
      </c>
      <c r="D15" t="s">
        <v>451</v>
      </c>
    </row>
    <row r="18" spans="1:7">
      <c r="A18" t="s">
        <v>440</v>
      </c>
      <c r="D18" s="41">
        <f>IF(B12&gt;0,ROUND(B12/AVERAGE(B7:B11),0),0)</f>
        <v>5</v>
      </c>
      <c r="E18" t="s">
        <v>453</v>
      </c>
    </row>
    <row r="19" spans="1:7">
      <c r="E19" t="s">
        <v>454</v>
      </c>
    </row>
    <row r="20" spans="1:7">
      <c r="A20" s="1" t="s">
        <v>441</v>
      </c>
    </row>
    <row r="21" spans="1:7">
      <c r="A21" s="1" t="s">
        <v>420</v>
      </c>
      <c r="B21" t="s">
        <v>448</v>
      </c>
      <c r="C21" t="s">
        <v>450</v>
      </c>
    </row>
    <row r="22" spans="1:7">
      <c r="A22" s="1">
        <f t="shared" ref="A22:B26" si="0">A7</f>
        <v>1</v>
      </c>
      <c r="B22" s="41">
        <f t="shared" si="0"/>
        <v>46.8</v>
      </c>
      <c r="C22" s="41">
        <f>B22/(1+$C$15)^A22</f>
        <v>44.520547945205479</v>
      </c>
    </row>
    <row r="23" spans="1:7">
      <c r="A23" s="1">
        <f t="shared" si="0"/>
        <v>2</v>
      </c>
      <c r="B23" s="41">
        <f t="shared" si="0"/>
        <v>45.2</v>
      </c>
      <c r="C23" s="41">
        <f>B23/(1+$C$15)^A23</f>
        <v>40.904183723349306</v>
      </c>
    </row>
    <row r="24" spans="1:7">
      <c r="A24" s="1">
        <f t="shared" si="0"/>
        <v>3</v>
      </c>
      <c r="B24" s="41">
        <f t="shared" si="0"/>
        <v>39.5</v>
      </c>
      <c r="C24" s="41">
        <f>B24/(1+$C$15)^A24</f>
        <v>34.004863743422973</v>
      </c>
    </row>
    <row r="25" spans="1:7">
      <c r="A25" s="1">
        <f t="shared" si="0"/>
        <v>4</v>
      </c>
      <c r="B25" s="41">
        <f t="shared" si="0"/>
        <v>35.9</v>
      </c>
      <c r="C25" s="41">
        <f>B25/(1+$C$15)^A25</f>
        <v>29.400386499549274</v>
      </c>
    </row>
    <row r="26" spans="1:7">
      <c r="A26" s="1">
        <f t="shared" si="0"/>
        <v>5</v>
      </c>
      <c r="B26" s="41">
        <f t="shared" si="0"/>
        <v>34.700000000000003</v>
      </c>
      <c r="C26" s="41">
        <f>B26/(1+$C$15)^A26</f>
        <v>27.033527183533451</v>
      </c>
    </row>
    <row r="27" spans="1:7">
      <c r="A27" s="1" t="str">
        <f>A12</f>
        <v>6 and beyond</v>
      </c>
      <c r="B27" s="41">
        <f>IF(B12&gt;0,IF(D18&gt;0,B12/D18,B12),0)</f>
        <v>40.880000000000003</v>
      </c>
      <c r="C27" s="41">
        <f>IF(D18&gt;0,(B27*(1-(1+C15)^(-D18))/C15)/(1+$C$15)^5,B27/(1+C15)^6)</f>
        <v>137.42960251235868</v>
      </c>
      <c r="D27" t="s">
        <v>452</v>
      </c>
    </row>
    <row r="28" spans="1:7">
      <c r="A28" s="1" t="s">
        <v>442</v>
      </c>
      <c r="C28" s="41">
        <f>SUM(C22:C27)</f>
        <v>313.29311160741918</v>
      </c>
    </row>
    <row r="30" spans="1:7">
      <c r="A30" s="1" t="s">
        <v>443</v>
      </c>
    </row>
    <row r="31" spans="1:7">
      <c r="A31" t="s">
        <v>444</v>
      </c>
      <c r="F31" s="41">
        <f>C28/(5+D18)</f>
        <v>31.329311160741916</v>
      </c>
      <c r="G31" s="13" t="s">
        <v>455</v>
      </c>
    </row>
    <row r="32" spans="1:7">
      <c r="A32" t="s">
        <v>445</v>
      </c>
      <c r="F32" s="41">
        <f>E4-F31</f>
        <v>17.670688839258084</v>
      </c>
      <c r="G32" s="13" t="s">
        <v>456</v>
      </c>
    </row>
    <row r="33" spans="1:7">
      <c r="A33" t="s">
        <v>446</v>
      </c>
      <c r="F33" s="41">
        <f>C28</f>
        <v>313.29311160741918</v>
      </c>
      <c r="G33" s="13" t="s">
        <v>457</v>
      </c>
    </row>
    <row r="34" spans="1:7">
      <c r="A34" t="s">
        <v>447</v>
      </c>
      <c r="F34" s="41">
        <f>C28/(5+D18)</f>
        <v>31.329311160741916</v>
      </c>
    </row>
  </sheetData>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43331D-57CA-4BE8-A824-A88AFBD375F7}">
  <sheetPr>
    <tabColor theme="4" tint="0.39997558519241921"/>
  </sheetPr>
  <dimension ref="A1:L59"/>
  <sheetViews>
    <sheetView topLeftCell="A41" workbookViewId="0">
      <selection activeCell="I33" sqref="I33"/>
    </sheetView>
  </sheetViews>
  <sheetFormatPr defaultRowHeight="15"/>
  <cols>
    <col min="1" max="1" width="49.7109375" bestFit="1" customWidth="1"/>
    <col min="2" max="2" width="25.140625" customWidth="1"/>
    <col min="4" max="4" width="9.5703125" bestFit="1" customWidth="1"/>
    <col min="8" max="8" width="24.7109375" customWidth="1"/>
    <col min="11" max="11" width="15.7109375" customWidth="1"/>
    <col min="12" max="12" width="15.140625" customWidth="1"/>
  </cols>
  <sheetData>
    <row r="1" spans="1:12">
      <c r="A1" s="1" t="s">
        <v>460</v>
      </c>
      <c r="H1" t="s">
        <v>504</v>
      </c>
    </row>
    <row r="2" spans="1:12">
      <c r="A2" t="s">
        <v>415</v>
      </c>
      <c r="H2" s="7" t="s">
        <v>35</v>
      </c>
      <c r="I2" s="8" t="s">
        <v>5</v>
      </c>
      <c r="J2" s="8" t="s">
        <v>510</v>
      </c>
      <c r="K2" s="8" t="s">
        <v>512</v>
      </c>
      <c r="L2" s="9" t="s">
        <v>514</v>
      </c>
    </row>
    <row r="3" spans="1:12">
      <c r="A3" t="s">
        <v>461</v>
      </c>
      <c r="H3" s="24" t="s">
        <v>193</v>
      </c>
      <c r="I3" s="24">
        <v>3913.8</v>
      </c>
      <c r="J3" s="46">
        <f>IF(I3=0,0,VLOOKUP(H3,'Country equity risk premiums'!$A$2:$D$152,4))</f>
        <v>4.8800000000000003E-2</v>
      </c>
      <c r="K3" s="46">
        <f t="shared" ref="K3:K13" si="0">IF(I3&gt;0,I3/$I$14,)</f>
        <v>0.90580448065173114</v>
      </c>
      <c r="L3" s="46">
        <f t="shared" ref="L3:L13" si="1">IF(K3=0,0,J3*K3)</f>
        <v>4.4203258655804482E-2</v>
      </c>
    </row>
    <row r="4" spans="1:12">
      <c r="A4" t="s">
        <v>462</v>
      </c>
      <c r="B4" s="41">
        <f>'Input Sheet'!B18</f>
        <v>21.28</v>
      </c>
      <c r="H4" s="24" t="s">
        <v>72</v>
      </c>
      <c r="I4" s="24">
        <v>279.5</v>
      </c>
      <c r="J4" s="46">
        <f>IF(I4=0,0,VLOOKUP(H4,'Country equity risk premiums'!$A$2:$D$152,4))</f>
        <v>4.8800000000000003E-2</v>
      </c>
      <c r="K4" s="46">
        <f t="shared" si="0"/>
        <v>6.4687094982410667E-2</v>
      </c>
      <c r="L4" s="46">
        <f t="shared" si="1"/>
        <v>3.1567302351416409E-3</v>
      </c>
    </row>
    <row r="5" spans="1:12">
      <c r="A5" t="s">
        <v>463</v>
      </c>
      <c r="B5" s="45">
        <f>'Input Sheet'!B19</f>
        <v>363.23</v>
      </c>
      <c r="H5" s="24" t="s">
        <v>192</v>
      </c>
      <c r="I5" s="24">
        <v>127.5</v>
      </c>
      <c r="J5" s="46">
        <f>IF(I5=0,0,VLOOKUP(H5,'Country equity risk premiums'!$A$2:$D$152,4))</f>
        <v>5.9145766699151614E-2</v>
      </c>
      <c r="K5" s="46">
        <f t="shared" si="0"/>
        <v>2.9508424365858172E-2</v>
      </c>
      <c r="L5" s="46">
        <f t="shared" si="1"/>
        <v>1.7452983832026083E-3</v>
      </c>
    </row>
    <row r="6" spans="1:12">
      <c r="H6" s="24"/>
      <c r="I6" s="24"/>
      <c r="J6" s="46">
        <f>IF(I6=0,0,VLOOKUP(H6,'Country equity risk premiums'!$A$2:$D$152,4))</f>
        <v>0</v>
      </c>
      <c r="K6" s="46">
        <f t="shared" si="0"/>
        <v>0</v>
      </c>
      <c r="L6" s="46">
        <f t="shared" si="1"/>
        <v>0</v>
      </c>
    </row>
    <row r="7" spans="1:12">
      <c r="A7" t="s">
        <v>464</v>
      </c>
      <c r="B7" s="24" t="s">
        <v>557</v>
      </c>
      <c r="H7" s="24"/>
      <c r="I7" s="24"/>
      <c r="J7" s="46">
        <f>IF(I7=0,0,VLOOKUP(H7,'Country equity risk premiums'!$A$2:$D$152,4))</f>
        <v>0</v>
      </c>
      <c r="K7" s="46">
        <f t="shared" si="0"/>
        <v>0</v>
      </c>
      <c r="L7" s="46">
        <f t="shared" si="1"/>
        <v>0</v>
      </c>
    </row>
    <row r="8" spans="1:12">
      <c r="A8" t="s">
        <v>465</v>
      </c>
      <c r="B8" s="24">
        <v>0.89</v>
      </c>
      <c r="H8" s="24"/>
      <c r="I8" s="24"/>
      <c r="J8" s="46">
        <f>IF(I8=0,0,VLOOKUP(H8,'Country equity risk premiums'!$A$2:$D$152,4))</f>
        <v>0</v>
      </c>
      <c r="K8" s="46">
        <f t="shared" si="0"/>
        <v>0</v>
      </c>
      <c r="L8" s="46">
        <f t="shared" si="1"/>
        <v>0</v>
      </c>
    </row>
    <row r="9" spans="1:12">
      <c r="A9" t="s">
        <v>466</v>
      </c>
      <c r="B9" s="49">
        <f>IF(B7="Single Business(US)",VLOOKUP('Input Sheet'!B6,'Industry Averages(US)'!A2:G96,7),IF(B7="Multibusiness(US)",L43,IF(B7="Single Business(Global)",VLOOKUP('Input Sheet'!B7,'Global industry averages'!A2:G96,7),'Cost of capital worksheet'!L59)))</f>
        <v>1.0078288196932834</v>
      </c>
      <c r="H9" s="24"/>
      <c r="I9" s="24"/>
      <c r="J9" s="46">
        <f>IF(I9=0,0,VLOOKUP(H9,'Country equity risk premiums'!$A$2:$D$152,4))</f>
        <v>0</v>
      </c>
      <c r="K9" s="46">
        <f t="shared" si="0"/>
        <v>0</v>
      </c>
      <c r="L9" s="46">
        <f t="shared" si="1"/>
        <v>0</v>
      </c>
    </row>
    <row r="10" spans="1:12">
      <c r="A10" t="s">
        <v>467</v>
      </c>
      <c r="B10" s="46">
        <f>'Input Sheet'!B27</f>
        <v>4.2700000000000002E-2</v>
      </c>
      <c r="H10" s="24"/>
      <c r="I10" s="24"/>
      <c r="J10" s="46">
        <f>IF(I10=0,0,VLOOKUP(H10,'Country equity risk premiums'!$A$2:$D$152,4))</f>
        <v>0</v>
      </c>
      <c r="K10" s="46">
        <f t="shared" si="0"/>
        <v>0</v>
      </c>
      <c r="L10" s="46">
        <f t="shared" si="1"/>
        <v>0</v>
      </c>
    </row>
    <row r="11" spans="1:12">
      <c r="A11" t="s">
        <v>468</v>
      </c>
      <c r="B11" s="24" t="s">
        <v>498</v>
      </c>
      <c r="H11" s="24"/>
      <c r="I11" s="24"/>
      <c r="J11" s="46">
        <f>IF(I11=0,0,VLOOKUP(H11,'Country equity risk premiums'!$A$2:$D$152,4))</f>
        <v>0</v>
      </c>
      <c r="K11" s="46">
        <f t="shared" si="0"/>
        <v>0</v>
      </c>
      <c r="L11" s="46">
        <f t="shared" si="1"/>
        <v>0</v>
      </c>
    </row>
    <row r="12" spans="1:12">
      <c r="A12" t="s">
        <v>469</v>
      </c>
      <c r="B12" s="55">
        <v>5.7500000000000002E-2</v>
      </c>
      <c r="H12" s="24"/>
      <c r="I12" s="24"/>
      <c r="J12" s="46">
        <f>IF(I12=0,0,VLOOKUP(H12,'Country equity risk premiums'!$A$2:$D$152,4))</f>
        <v>0</v>
      </c>
      <c r="K12" s="46">
        <f t="shared" si="0"/>
        <v>0</v>
      </c>
      <c r="L12" s="46">
        <f t="shared" si="1"/>
        <v>0</v>
      </c>
    </row>
    <row r="13" spans="1:12">
      <c r="A13" t="s">
        <v>470</v>
      </c>
      <c r="B13" s="46">
        <f>IF(B11="Will Input",B12,IF(B11="Country of Incorporation",VLOOKUP('Input Sheet'!B5,'Country equity risk premiums'!A2:E145,4),IF(B11="Operating regions",'Cost of capital worksheet'!L27,'Cost of capital worksheet'!L14)))</f>
        <v>4.8800000000000003E-2</v>
      </c>
      <c r="H13" s="24"/>
      <c r="I13" s="24"/>
      <c r="J13" s="46">
        <f>IF(I13=0,0,VLOOKUP(H13,'Country equity risk premiums'!$A$2:$D$152,4))</f>
        <v>0</v>
      </c>
      <c r="K13" s="46">
        <f t="shared" si="0"/>
        <v>0</v>
      </c>
      <c r="L13" s="46">
        <f t="shared" si="1"/>
        <v>0</v>
      </c>
    </row>
    <row r="14" spans="1:12">
      <c r="H14" s="6" t="s">
        <v>505</v>
      </c>
      <c r="I14" s="41">
        <f>SUM(I3:I13)</f>
        <v>4320.8</v>
      </c>
      <c r="J14" s="11"/>
      <c r="K14" s="46">
        <f>SUM(K3:K13)</f>
        <v>1</v>
      </c>
      <c r="L14" s="57">
        <f>SUM(L3:L13)</f>
        <v>4.9105287274148729E-2</v>
      </c>
    </row>
    <row r="15" spans="1:12">
      <c r="A15" t="s">
        <v>471</v>
      </c>
      <c r="H15" t="s">
        <v>506</v>
      </c>
    </row>
    <row r="16" spans="1:12">
      <c r="A16" t="s">
        <v>472</v>
      </c>
      <c r="B16" s="45">
        <f>'Input Sheet'!B12</f>
        <v>2251.2000000000003</v>
      </c>
      <c r="H16" s="7" t="s">
        <v>36</v>
      </c>
      <c r="I16" s="8" t="s">
        <v>5</v>
      </c>
      <c r="J16" s="8" t="s">
        <v>510</v>
      </c>
      <c r="K16" s="8" t="s">
        <v>512</v>
      </c>
      <c r="L16" s="9" t="s">
        <v>514</v>
      </c>
    </row>
    <row r="17" spans="1:12">
      <c r="A17" t="s">
        <v>473</v>
      </c>
      <c r="B17" s="45">
        <f>'Input Sheet'!B10</f>
        <v>98.2</v>
      </c>
      <c r="H17" s="24" t="str">
        <f>'Country equity risk premiums'!A156</f>
        <v>Africa</v>
      </c>
      <c r="I17" s="24">
        <v>0</v>
      </c>
      <c r="J17" s="46">
        <f>'Country equity risk premiums'!B156</f>
        <v>0.15587530436670971</v>
      </c>
      <c r="K17" s="46">
        <f t="shared" ref="K17:K26" si="2">I17/$I$27</f>
        <v>0</v>
      </c>
      <c r="L17" s="46">
        <f t="shared" ref="L17:L26" si="3">J17*K17</f>
        <v>0</v>
      </c>
    </row>
    <row r="18" spans="1:12">
      <c r="A18" t="s">
        <v>474</v>
      </c>
      <c r="B18" s="24">
        <v>4</v>
      </c>
      <c r="H18" s="24" t="str">
        <f>'Country equity risk premiums'!A157</f>
        <v>Asia</v>
      </c>
      <c r="I18" s="24">
        <v>0</v>
      </c>
      <c r="J18" s="46">
        <f>'Country equity risk premiums'!B157</f>
        <v>0.11304430062797985</v>
      </c>
      <c r="K18" s="46">
        <f t="shared" si="2"/>
        <v>0</v>
      </c>
      <c r="L18" s="46">
        <f t="shared" si="3"/>
        <v>0</v>
      </c>
    </row>
    <row r="19" spans="1:12">
      <c r="A19" t="s">
        <v>475</v>
      </c>
      <c r="B19" s="24" t="s">
        <v>499</v>
      </c>
      <c r="H19" s="24" t="str">
        <f>'Country equity risk premiums'!A158</f>
        <v>Australia &amp; New Zealand</v>
      </c>
      <c r="I19" s="24">
        <v>0</v>
      </c>
      <c r="J19" s="46">
        <f>'Country equity risk premiums'!B158</f>
        <v>7.4698226442974303E-2</v>
      </c>
      <c r="K19" s="46">
        <f t="shared" si="2"/>
        <v>0</v>
      </c>
      <c r="L19" s="46">
        <f t="shared" si="3"/>
        <v>0</v>
      </c>
    </row>
    <row r="20" spans="1:12">
      <c r="A20" t="s">
        <v>476</v>
      </c>
      <c r="B20" s="78">
        <v>3.5000000000000003E-2</v>
      </c>
      <c r="H20" s="24" t="str">
        <f>'Country equity risk premiums'!A159</f>
        <v>Caribbean</v>
      </c>
      <c r="I20" s="24">
        <v>0</v>
      </c>
      <c r="J20" s="46">
        <f>'Country equity risk premiums'!B159</f>
        <v>0.11619238223775089</v>
      </c>
      <c r="K20" s="46">
        <f t="shared" si="2"/>
        <v>0</v>
      </c>
      <c r="L20" s="46">
        <f t="shared" si="3"/>
        <v>0</v>
      </c>
    </row>
    <row r="21" spans="1:12">
      <c r="A21" t="s">
        <v>477</v>
      </c>
      <c r="B21" s="24" t="s">
        <v>500</v>
      </c>
      <c r="H21" s="24" t="str">
        <f>'Country equity risk premiums'!A160</f>
        <v>Central and South America</v>
      </c>
      <c r="I21" s="24">
        <v>0</v>
      </c>
      <c r="J21" s="46">
        <f>'Country equity risk premiums'!B160</f>
        <v>0.14453737509411396</v>
      </c>
      <c r="K21" s="46">
        <f t="shared" si="2"/>
        <v>0</v>
      </c>
      <c r="L21" s="46">
        <f t="shared" si="3"/>
        <v>0</v>
      </c>
    </row>
    <row r="22" spans="1:12">
      <c r="A22" s="70" t="s">
        <v>478</v>
      </c>
      <c r="B22" s="24">
        <v>1</v>
      </c>
      <c r="H22" s="24" t="str">
        <f>'Country equity risk premiums'!A161</f>
        <v>Eastern Europe &amp; Russia</v>
      </c>
      <c r="I22" s="24">
        <v>0</v>
      </c>
      <c r="J22" s="46">
        <f>'Country equity risk premiums'!B161</f>
        <v>0.1130233941498533</v>
      </c>
      <c r="K22" s="46">
        <f t="shared" si="2"/>
        <v>0</v>
      </c>
      <c r="L22" s="46">
        <f t="shared" si="3"/>
        <v>0</v>
      </c>
    </row>
    <row r="23" spans="1:12">
      <c r="A23" t="s">
        <v>439</v>
      </c>
      <c r="B23" s="59">
        <f>IF(B19="Direct Input",B20,IF(B19="Synthetic Rating",'Synthetic rating'!D13,B10+VLOOKUP('Cost of capital worksheet'!B21,'Synthetic rating'!G39:H53,2)))</f>
        <v>5.1200000000000002E-2</v>
      </c>
      <c r="H23" s="24" t="str">
        <f>'Country equity risk premiums'!A162</f>
        <v>Middle East</v>
      </c>
      <c r="I23" s="24">
        <v>0</v>
      </c>
      <c r="J23" s="46">
        <f>'Country equity risk premiums'!B162</f>
        <v>0.1056300283457226</v>
      </c>
      <c r="K23" s="46">
        <f t="shared" si="2"/>
        <v>0</v>
      </c>
      <c r="L23" s="46">
        <f t="shared" si="3"/>
        <v>0</v>
      </c>
    </row>
    <row r="24" spans="1:12">
      <c r="A24" t="s">
        <v>479</v>
      </c>
      <c r="B24" s="47">
        <f>'Input Sheet'!B21</f>
        <v>0.25</v>
      </c>
      <c r="H24" s="24" t="str">
        <f>'Country equity risk premiums'!A163</f>
        <v>North America</v>
      </c>
      <c r="I24" s="24">
        <v>100</v>
      </c>
      <c r="J24" s="46">
        <f>'Country equity risk premiums'!B163</f>
        <v>4.8800000000000003E-2</v>
      </c>
      <c r="K24" s="46">
        <f t="shared" si="2"/>
        <v>1</v>
      </c>
      <c r="L24" s="46">
        <f t="shared" si="3"/>
        <v>4.8800000000000003E-2</v>
      </c>
    </row>
    <row r="25" spans="1:12">
      <c r="H25" s="24" t="str">
        <f>'Country equity risk premiums'!A164</f>
        <v>Western Europe</v>
      </c>
      <c r="I25" s="24">
        <v>0</v>
      </c>
      <c r="J25" s="46">
        <f>'Country equity risk premiums'!B164</f>
        <v>6.5855690802673783E-2</v>
      </c>
      <c r="K25" s="46">
        <f t="shared" si="2"/>
        <v>0</v>
      </c>
      <c r="L25" s="46">
        <f t="shared" si="3"/>
        <v>0</v>
      </c>
    </row>
    <row r="26" spans="1:12">
      <c r="A26" t="s">
        <v>480</v>
      </c>
      <c r="B26" s="24">
        <v>0</v>
      </c>
      <c r="H26" s="24" t="s">
        <v>606</v>
      </c>
      <c r="I26" s="24">
        <v>0</v>
      </c>
      <c r="J26" s="46">
        <f>'Country equity risk premiums'!B165</f>
        <v>0.11533723677898319</v>
      </c>
      <c r="K26" s="46">
        <f t="shared" si="2"/>
        <v>0</v>
      </c>
      <c r="L26" s="46">
        <f t="shared" si="3"/>
        <v>0</v>
      </c>
    </row>
    <row r="27" spans="1:12">
      <c r="A27" t="s">
        <v>481</v>
      </c>
      <c r="B27" s="24">
        <v>0</v>
      </c>
      <c r="H27" s="6" t="s">
        <v>505</v>
      </c>
      <c r="I27" s="41">
        <f>SUM(I17:I26)</f>
        <v>100</v>
      </c>
      <c r="J27" s="11"/>
      <c r="K27" s="46">
        <f>I27/$I$27</f>
        <v>1</v>
      </c>
      <c r="L27" s="57">
        <f>SUM(L17:L26)</f>
        <v>4.8800000000000003E-2</v>
      </c>
    </row>
    <row r="28" spans="1:12">
      <c r="A28" t="s">
        <v>482</v>
      </c>
      <c r="B28" s="24">
        <v>0</v>
      </c>
    </row>
    <row r="29" spans="1:12">
      <c r="A29" t="s">
        <v>483</v>
      </c>
      <c r="B29" s="24">
        <v>0</v>
      </c>
      <c r="H29" t="s">
        <v>507</v>
      </c>
    </row>
    <row r="30" spans="1:12">
      <c r="H30" s="7" t="s">
        <v>508</v>
      </c>
      <c r="I30" s="8" t="s">
        <v>5</v>
      </c>
      <c r="J30" s="8" t="s">
        <v>511</v>
      </c>
      <c r="K30" s="8" t="s">
        <v>513</v>
      </c>
      <c r="L30" s="9" t="s">
        <v>515</v>
      </c>
    </row>
    <row r="31" spans="1:12">
      <c r="A31" t="s">
        <v>484</v>
      </c>
      <c r="B31" s="41">
        <f>IF('Input Sheet'!B14="Yes",'Operating lease converter'!F33,0)</f>
        <v>0</v>
      </c>
      <c r="H31" s="24" t="s">
        <v>268</v>
      </c>
      <c r="I31" s="24">
        <f>13103.6</f>
        <v>13103.6</v>
      </c>
      <c r="J31" s="41">
        <f>IF(H31=0,,VLOOKUP(H31,'Industry Averages(US)'!$A$2:$S$96,15))</f>
        <v>0.90560565109919078</v>
      </c>
      <c r="K31" s="41">
        <f t="shared" ref="K31:K42" si="4">I31*J31</f>
        <v>11866.694209743357</v>
      </c>
      <c r="L31" s="41">
        <f>IF(J31=0,0,VLOOKUP(H31,'Industry Averages(US)'!$A$2:$S$96,7))</f>
        <v>1.0622166906556574</v>
      </c>
    </row>
    <row r="32" spans="1:12">
      <c r="H32" s="24" t="s">
        <v>272</v>
      </c>
      <c r="I32" s="24">
        <v>3070.8</v>
      </c>
      <c r="J32" s="41">
        <f>IF(H32=0,,VLOOKUP(H32,'Industry Averages(US)'!$A$2:$S$96,15))</f>
        <v>0.37471973967659333</v>
      </c>
      <c r="K32" s="41">
        <f t="shared" si="4"/>
        <v>1150.689376598883</v>
      </c>
      <c r="L32" s="41">
        <f>IF(J32=0,0,VLOOKUP(H32,'Industry Averages(US)'!$A$2:$S$96,7))</f>
        <v>0.44694397400442637</v>
      </c>
    </row>
    <row r="33" spans="1:12">
      <c r="A33" t="s">
        <v>485</v>
      </c>
      <c r="H33" s="24"/>
      <c r="I33" s="24"/>
      <c r="J33" s="41">
        <f>IF(H33=0,,VLOOKUP(H33,'Industry Averages(US)'!$A$2:$S$96,15))</f>
        <v>0</v>
      </c>
      <c r="K33" s="41">
        <f t="shared" si="4"/>
        <v>0</v>
      </c>
      <c r="L33" s="41">
        <f>IF(J33=0,0,VLOOKUP(H33,'Industry Averages(US)'!$A$2:$S$96,7))</f>
        <v>0</v>
      </c>
    </row>
    <row r="34" spans="1:12">
      <c r="A34" t="s">
        <v>486</v>
      </c>
      <c r="B34" s="24">
        <v>0</v>
      </c>
      <c r="H34" s="24"/>
      <c r="I34" s="24"/>
      <c r="J34" s="41">
        <f>IF(H34=0,,VLOOKUP(H34,'Industry Averages(US)'!$A$2:$S$96,15))</f>
        <v>0</v>
      </c>
      <c r="K34" s="41">
        <f t="shared" si="4"/>
        <v>0</v>
      </c>
      <c r="L34" s="41">
        <f>IF(J34=0,0,VLOOKUP(H34,'Industry Averages(US)'!$A$2:$S$96,7))</f>
        <v>0</v>
      </c>
    </row>
    <row r="35" spans="1:12">
      <c r="A35" t="s">
        <v>487</v>
      </c>
      <c r="B35" s="24">
        <v>105</v>
      </c>
      <c r="H35" s="24"/>
      <c r="I35" s="24"/>
      <c r="J35" s="41">
        <f>IF(H35=0,,VLOOKUP(H35,'Industry Averages(US)'!$A$2:$S$96,15))</f>
        <v>0</v>
      </c>
      <c r="K35" s="41">
        <f t="shared" si="4"/>
        <v>0</v>
      </c>
      <c r="L35" s="41">
        <f>IF(J35=0,0,VLOOKUP(H35,'Industry Averages(US)'!$A$2:$S$96,7))</f>
        <v>0</v>
      </c>
    </row>
    <row r="36" spans="1:12">
      <c r="A36" t="s">
        <v>488</v>
      </c>
      <c r="B36" s="24">
        <v>4</v>
      </c>
      <c r="H36" s="24"/>
      <c r="I36" s="24"/>
      <c r="J36" s="41">
        <f>IF(H36=0,,VLOOKUP(H36,'Industry Averages(US)'!$A$2:$S$96,15))</f>
        <v>0</v>
      </c>
      <c r="K36" s="41">
        <f t="shared" si="4"/>
        <v>0</v>
      </c>
      <c r="L36" s="41">
        <f>IF(J36=0,0,VLOOKUP(H36,'Industry Averages(US)'!$A$2:$S$96,7))</f>
        <v>0</v>
      </c>
    </row>
    <row r="37" spans="1:12">
      <c r="H37" s="24"/>
      <c r="I37" s="24"/>
      <c r="J37" s="41">
        <f>IF(H37=0,,VLOOKUP(H37,'Industry Averages(US)'!$A$2:$S$96,15))</f>
        <v>0</v>
      </c>
      <c r="K37" s="41">
        <f t="shared" si="4"/>
        <v>0</v>
      </c>
      <c r="L37" s="41">
        <f>IF(J37=0,0,VLOOKUP(H37,'Industry Averages(US)'!$A$2:$S$96,7))</f>
        <v>0</v>
      </c>
    </row>
    <row r="38" spans="1:12">
      <c r="A38" t="s">
        <v>421</v>
      </c>
      <c r="H38" s="24"/>
      <c r="I38" s="24"/>
      <c r="J38" s="41">
        <f>IF(H38=0,,VLOOKUP(H38,'Industry Averages(US)'!$A$2:$S$96,15))</f>
        <v>0</v>
      </c>
      <c r="K38" s="41">
        <f t="shared" si="4"/>
        <v>0</v>
      </c>
      <c r="L38" s="41">
        <f>IF(J38=0,0,VLOOKUP(H38,'Industry Averages(US)'!$A$2:$S$96,7))</f>
        <v>0</v>
      </c>
    </row>
    <row r="39" spans="1:12">
      <c r="A39" t="s">
        <v>489</v>
      </c>
      <c r="C39" s="41">
        <f>B17*(1-(1+B23)^(-B18))/B23+B16/(1+B23)^B18</f>
        <v>2190.8692386832295</v>
      </c>
      <c r="H39" s="24"/>
      <c r="I39" s="24"/>
      <c r="J39" s="41">
        <f>IF(H39=0,,VLOOKUP(H39,'Industry Averages(US)'!$A$2:$S$96,15))</f>
        <v>0</v>
      </c>
      <c r="K39" s="41">
        <f t="shared" si="4"/>
        <v>0</v>
      </c>
      <c r="L39" s="41">
        <f>IF(J39=0,0,VLOOKUP(H39,'Industry Averages(US)'!$A$2:$S$96,7))</f>
        <v>0</v>
      </c>
    </row>
    <row r="40" spans="1:12">
      <c r="A40" t="s">
        <v>490</v>
      </c>
      <c r="C40" s="41">
        <f>B27*(1-(1+B23)^(-B28))/B23+B26/(1+B23)^B28</f>
        <v>0</v>
      </c>
      <c r="H40" s="24"/>
      <c r="I40" s="24"/>
      <c r="J40" s="41">
        <f>IF(H40=0,,VLOOKUP(H40,'Industry Averages(US)'!$A$2:$S$96,15))</f>
        <v>0</v>
      </c>
      <c r="K40" s="41">
        <f t="shared" si="4"/>
        <v>0</v>
      </c>
      <c r="L40" s="41">
        <f>IF(J40=0,0,VLOOKUP(H40,'Industry Averages(US)'!$A$2:$S$96,7))</f>
        <v>0</v>
      </c>
    </row>
    <row r="41" spans="1:12">
      <c r="A41" t="s">
        <v>491</v>
      </c>
      <c r="C41" s="41">
        <f>B31</f>
        <v>0</v>
      </c>
      <c r="H41" s="24"/>
      <c r="I41" s="24"/>
      <c r="J41" s="41">
        <f>IF(H41=0,,VLOOKUP(H41,'Industry Averages(US)'!$A$2:$S$96,15))</f>
        <v>0</v>
      </c>
      <c r="K41" s="41">
        <f t="shared" si="4"/>
        <v>0</v>
      </c>
      <c r="L41" s="41">
        <f>IF(J41=0,0,VLOOKUP(H41,'Industry Averages(US)'!$A$2:$S$96,7))</f>
        <v>0</v>
      </c>
    </row>
    <row r="42" spans="1:12">
      <c r="A42" t="s">
        <v>492</v>
      </c>
      <c r="C42" s="41">
        <f>B29-C40</f>
        <v>0</v>
      </c>
      <c r="H42" s="24"/>
      <c r="I42" s="24"/>
      <c r="J42" s="41">
        <f>IF(H42=0,,VLOOKUP(H42,'Industry Averages(US)'!$A$2:$S$96,15))</f>
        <v>0</v>
      </c>
      <c r="K42" s="41">
        <f t="shared" si="4"/>
        <v>0</v>
      </c>
      <c r="L42" s="41">
        <f>IF(J42=0,0,VLOOKUP(H42,'Industry Averages(US)'!$A$2:$S$96,7))</f>
        <v>0</v>
      </c>
    </row>
    <row r="43" spans="1:12">
      <c r="A43" t="s">
        <v>493</v>
      </c>
      <c r="C43" s="41">
        <f>IF(B7="Direct Input",B8,B9*(1+(1-B24)*(C46/B46)))</f>
        <v>1.2220740489005344</v>
      </c>
      <c r="H43" s="6" t="s">
        <v>339</v>
      </c>
      <c r="I43" s="41">
        <f>SUM(I31:I42)</f>
        <v>16174.400000000001</v>
      </c>
      <c r="J43" s="11"/>
      <c r="K43" s="41">
        <f>SUM(K31:K42)</f>
        <v>13017.383586342239</v>
      </c>
      <c r="L43" s="56">
        <f>L31*(K31/K43)+L32*K32/K43+L33*K33/K43+L34*K34/K43+L35*K35/K43+L36*K36/K43+L37*K37/K43+L38*K38/K43+L39*K39/K43+L40*K40/K43+L41*K41/K43+L42*K42/K43</f>
        <v>1.0078288196932834</v>
      </c>
    </row>
    <row r="45" spans="1:12">
      <c r="B45" t="s">
        <v>461</v>
      </c>
      <c r="C45" t="s">
        <v>501</v>
      </c>
      <c r="D45" t="s">
        <v>485</v>
      </c>
      <c r="E45" t="s">
        <v>502</v>
      </c>
      <c r="H45" t="s">
        <v>509</v>
      </c>
    </row>
    <row r="46" spans="1:12">
      <c r="A46" t="s">
        <v>494</v>
      </c>
      <c r="B46" s="41">
        <f>B4*B5</f>
        <v>7729.5344000000005</v>
      </c>
      <c r="C46" s="41">
        <f>C39+C40+C41</f>
        <v>2190.8692386832295</v>
      </c>
      <c r="D46" s="41">
        <f>B34*B35</f>
        <v>0</v>
      </c>
      <c r="E46" s="41">
        <f>SUM(B46:D46)</f>
        <v>9920.4036386832304</v>
      </c>
      <c r="H46" s="7" t="s">
        <v>508</v>
      </c>
      <c r="I46" s="8" t="s">
        <v>5</v>
      </c>
      <c r="J46" s="8" t="s">
        <v>511</v>
      </c>
      <c r="K46" s="8" t="s">
        <v>513</v>
      </c>
      <c r="L46" s="9" t="s">
        <v>515</v>
      </c>
    </row>
    <row r="47" spans="1:12">
      <c r="A47" t="s">
        <v>495</v>
      </c>
      <c r="B47" s="59">
        <f>B46/$E$46</f>
        <v>0.77915523213791016</v>
      </c>
      <c r="C47" s="59">
        <f>C46/$E$46</f>
        <v>0.22084476786208984</v>
      </c>
      <c r="D47" s="59">
        <f>D46/$E$46</f>
        <v>0</v>
      </c>
      <c r="E47" s="59">
        <f>SUM(B47:D47)</f>
        <v>1</v>
      </c>
      <c r="H47" s="24" t="s">
        <v>233</v>
      </c>
      <c r="I47" s="24">
        <v>90</v>
      </c>
      <c r="J47" s="41">
        <f>IF(H47=0,,VLOOKUP(H47,'Global industry averages'!$A$2:$O$96,15))</f>
        <v>1.5542804803457522</v>
      </c>
      <c r="K47" s="41">
        <f t="shared" ref="K47:K58" si="5">I47*J47</f>
        <v>139.8852432311177</v>
      </c>
      <c r="L47" s="41">
        <f>IF(H47=0,,VLOOKUP(H47,'Global industry averages'!$A$2:$O$96,7))</f>
        <v>0.65334402446556439</v>
      </c>
    </row>
    <row r="48" spans="1:12">
      <c r="A48" t="s">
        <v>496</v>
      </c>
      <c r="B48" s="59">
        <f>B10+C43*B13</f>
        <v>0.10233721358634609</v>
      </c>
      <c r="C48" s="59">
        <f>B23*(1-B24)</f>
        <v>3.8400000000000004E-2</v>
      </c>
      <c r="D48" s="59">
        <f>B36/B35</f>
        <v>3.8095238095238099E-2</v>
      </c>
      <c r="E48" s="58">
        <f>B47*B48+C47*C48+D47*D48</f>
        <v>8.821701449412063E-2</v>
      </c>
      <c r="H48" s="24" t="s">
        <v>216</v>
      </c>
      <c r="I48" s="24">
        <v>10</v>
      </c>
      <c r="J48" s="41">
        <f>IF(H48=0,,VLOOKUP(H48,'Global industry averages'!$A$2:$O$96,15))</f>
        <v>2.0157117635380177</v>
      </c>
      <c r="K48" s="41">
        <f t="shared" si="5"/>
        <v>20.157117635380178</v>
      </c>
      <c r="L48" s="41">
        <f>IF(H48=0,,VLOOKUP(H48,'Global industry averages'!$A$2:$O$96,7))</f>
        <v>0.95473675024367</v>
      </c>
    </row>
    <row r="49" spans="5:12">
      <c r="E49" t="s">
        <v>503</v>
      </c>
      <c r="H49" s="24"/>
      <c r="I49" s="24"/>
      <c r="J49" s="41">
        <f>IF(H49=0,,VLOOKUP(H49,'Global industry averages'!$A$2:$O$96,15))</f>
        <v>0</v>
      </c>
      <c r="K49" s="41">
        <f t="shared" si="5"/>
        <v>0</v>
      </c>
      <c r="L49" s="41">
        <f>IF(H49=0,,VLOOKUP(H49,'Global industry averages'!$A$2:$O$96,7))</f>
        <v>0</v>
      </c>
    </row>
    <row r="50" spans="5:12">
      <c r="H50" s="24"/>
      <c r="I50" s="24"/>
      <c r="J50" s="41">
        <f>IF(H50=0,,VLOOKUP(H50,'Global industry averages'!$A$2:$O$96,15))</f>
        <v>0</v>
      </c>
      <c r="K50" s="41">
        <f t="shared" si="5"/>
        <v>0</v>
      </c>
      <c r="L50" s="41">
        <f>IF(H50=0,,VLOOKUP(H50,'Global industry averages'!$A$2:$O$96,7))</f>
        <v>0</v>
      </c>
    </row>
    <row r="51" spans="5:12">
      <c r="H51" s="24"/>
      <c r="I51" s="24"/>
      <c r="J51" s="41">
        <f>IF(H51=0,,VLOOKUP(H51,'Global industry averages'!$A$2:$O$96,15))</f>
        <v>0</v>
      </c>
      <c r="K51" s="41">
        <f t="shared" si="5"/>
        <v>0</v>
      </c>
      <c r="L51" s="41">
        <f>IF(H51=0,,VLOOKUP(H51,'Global industry averages'!$A$2:$O$96,7))</f>
        <v>0</v>
      </c>
    </row>
    <row r="52" spans="5:12">
      <c r="H52" s="24"/>
      <c r="I52" s="24"/>
      <c r="J52" s="41">
        <f>IF(H52=0,,VLOOKUP(H52,'Global industry averages'!$A$2:$O$96,15))</f>
        <v>0</v>
      </c>
      <c r="K52" s="41">
        <f t="shared" si="5"/>
        <v>0</v>
      </c>
      <c r="L52" s="41">
        <f>IF(H52=0,,VLOOKUP(H52,'Global industry averages'!$A$2:$O$96,7))</f>
        <v>0</v>
      </c>
    </row>
    <row r="53" spans="5:12">
      <c r="H53" s="24"/>
      <c r="I53" s="24"/>
      <c r="J53" s="41">
        <f>IF(H53=0,,VLOOKUP(H53,'Global industry averages'!$A$2:$O$96,15))</f>
        <v>0</v>
      </c>
      <c r="K53" s="41">
        <f t="shared" si="5"/>
        <v>0</v>
      </c>
      <c r="L53" s="41">
        <f>IF(H53=0,,VLOOKUP(H53,'Global industry averages'!$A$2:$O$96,7))</f>
        <v>0</v>
      </c>
    </row>
    <row r="54" spans="5:12">
      <c r="H54" s="24"/>
      <c r="I54" s="24"/>
      <c r="J54" s="41">
        <f>IF(H54=0,,VLOOKUP(H54,'Global industry averages'!$A$2:$O$96,15))</f>
        <v>0</v>
      </c>
      <c r="K54" s="41">
        <f t="shared" si="5"/>
        <v>0</v>
      </c>
      <c r="L54" s="41">
        <f>IF(H54=0,,VLOOKUP(H54,'Global industry averages'!$A$2:$O$96,7))</f>
        <v>0</v>
      </c>
    </row>
    <row r="55" spans="5:12">
      <c r="H55" s="24"/>
      <c r="I55" s="24"/>
      <c r="J55" s="41">
        <f>IF(H55=0,,VLOOKUP(H55,'Global industry averages'!$A$2:$O$96,15))</f>
        <v>0</v>
      </c>
      <c r="K55" s="41">
        <f t="shared" si="5"/>
        <v>0</v>
      </c>
      <c r="L55" s="41">
        <f>IF(H55=0,,VLOOKUP(H55,'Global industry averages'!$A$2:$O$96,7))</f>
        <v>0</v>
      </c>
    </row>
    <row r="56" spans="5:12">
      <c r="H56" s="24"/>
      <c r="I56" s="24"/>
      <c r="J56" s="41">
        <f>IF(H56=0,,VLOOKUP(H56,'Global industry averages'!$A$2:$O$96,15))</f>
        <v>0</v>
      </c>
      <c r="K56" s="41">
        <f t="shared" si="5"/>
        <v>0</v>
      </c>
      <c r="L56" s="41">
        <f>IF(H56=0,,VLOOKUP(H56,'Global industry averages'!$A$2:$O$96,7))</f>
        <v>0</v>
      </c>
    </row>
    <row r="57" spans="5:12">
      <c r="H57" s="24"/>
      <c r="I57" s="24"/>
      <c r="J57" s="41">
        <f>IF(H57=0,,VLOOKUP(H57,'Global industry averages'!$A$2:$O$96,15))</f>
        <v>0</v>
      </c>
      <c r="K57" s="41">
        <f t="shared" si="5"/>
        <v>0</v>
      </c>
      <c r="L57" s="41">
        <f>IF(H57=0,,VLOOKUP(H57,'Global industry averages'!$A$2:$O$96,7))</f>
        <v>0</v>
      </c>
    </row>
    <row r="58" spans="5:12">
      <c r="H58" s="24"/>
      <c r="I58" s="24"/>
      <c r="J58" s="41">
        <f>IF(H58=0,,VLOOKUP(H58,'Global industry averages'!$A$2:$O$96,15))</f>
        <v>0</v>
      </c>
      <c r="K58" s="41">
        <f t="shared" si="5"/>
        <v>0</v>
      </c>
      <c r="L58" s="41">
        <f>IF(H58=0,,VLOOKUP(H58,'Global industry averages'!$A$2:$O$96,7))</f>
        <v>0</v>
      </c>
    </row>
    <row r="59" spans="5:12">
      <c r="H59" s="6" t="s">
        <v>339</v>
      </c>
      <c r="I59" s="41">
        <f>SUM(I47:I58)</f>
        <v>100</v>
      </c>
      <c r="J59" s="11"/>
      <c r="K59" s="41">
        <f>SUM(K47:K58)</f>
        <v>160.04236086649789</v>
      </c>
      <c r="L59" s="56">
        <f>L47*(K47/K59)+L48*K48/K59+L49*K49/K59+L50*K50/K59+L51*K51/K59+L52*K52/K59+L53*K53/K59+L54*K54/K59+L55*K55/K59+L56*K56/K59+L57*K57/K59+L58*K58/K59</f>
        <v>0.69130402827371162</v>
      </c>
    </row>
  </sheetData>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7">
        <x14:dataValidation type="list" allowBlank="1" showInputMessage="1" showErrorMessage="1" xr:uid="{0E65AD01-4D5A-4EF1-95AC-B5730852C334}">
          <x14:formula1>
            <xm:f>'Answer Keys'!$D$1:$D$5</xm:f>
          </x14:formula1>
          <xm:sqref>B7</xm:sqref>
        </x14:dataValidation>
        <x14:dataValidation type="list" allowBlank="1" showInputMessage="1" showErrorMessage="1" xr:uid="{98A04F8B-616B-4C81-A806-A10E359A75F1}">
          <x14:formula1>
            <xm:f>'Answer Keys'!$F$1:$F$4</xm:f>
          </x14:formula1>
          <xm:sqref>B11</xm:sqref>
        </x14:dataValidation>
        <x14:dataValidation type="list" allowBlank="1" showInputMessage="1" showErrorMessage="1" xr:uid="{186A3718-9844-4DDB-8518-75EC240F65C9}">
          <x14:formula1>
            <xm:f>'Answer Keys'!$G$1:$G$3</xm:f>
          </x14:formula1>
          <xm:sqref>B19</xm:sqref>
        </x14:dataValidation>
        <x14:dataValidation type="list" allowBlank="1" showInputMessage="1" showErrorMessage="1" xr:uid="{CD20EF10-1DBA-4950-9D79-D01ADCF566E3}">
          <x14:formula1>
            <xm:f>'Country equity risk premiums'!$A$2:$A$152</xm:f>
          </x14:formula1>
          <xm:sqref>H3:H13</xm:sqref>
        </x14:dataValidation>
        <x14:dataValidation type="list" allowBlank="1" showInputMessage="1" showErrorMessage="1" xr:uid="{FB1E1EBE-3C2B-408F-AFA6-77B22AF70298}">
          <x14:formula1>
            <xm:f>'Answer Keys'!$H$1:$H$2</xm:f>
          </x14:formula1>
          <xm:sqref>B22</xm:sqref>
        </x14:dataValidation>
        <x14:dataValidation type="list" allowBlank="1" showInputMessage="1" showErrorMessage="1" xr:uid="{28B2902F-4DE2-4C49-B61E-58BCC98AD5AC}">
          <x14:formula1>
            <xm:f>'Industry Averages(US)'!$A$2:$A$95</xm:f>
          </x14:formula1>
          <xm:sqref>H31:H42</xm:sqref>
        </x14:dataValidation>
        <x14:dataValidation type="list" allowBlank="1" showInputMessage="1" showErrorMessage="1" xr:uid="{03534524-9F1E-43AD-B9AB-E58D06EEEA74}">
          <x14:formula1>
            <xm:f>'Global industry averages'!$A$2:$A$95</xm:f>
          </x14:formula1>
          <xm:sqref>H47:H58</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002100-C3E9-4B60-8A78-D3E883563486}">
  <sheetPr>
    <tabColor theme="4" tint="0.39997558519241921"/>
  </sheetPr>
  <dimension ref="A1:H53"/>
  <sheetViews>
    <sheetView workbookViewId="0"/>
  </sheetViews>
  <sheetFormatPr defaultRowHeight="15"/>
  <cols>
    <col min="1" max="1" width="17.85546875" customWidth="1"/>
  </cols>
  <sheetData>
    <row r="1" spans="1:7">
      <c r="A1" t="s">
        <v>516</v>
      </c>
    </row>
    <row r="2" spans="1:7">
      <c r="A2" t="s">
        <v>517</v>
      </c>
    </row>
    <row r="3" spans="1:7">
      <c r="A3" t="s">
        <v>518</v>
      </c>
    </row>
    <row r="4" spans="1:7">
      <c r="A4" t="s">
        <v>519</v>
      </c>
      <c r="C4" s="41">
        <f>'Cost of capital worksheet'!B22</f>
        <v>1</v>
      </c>
    </row>
    <row r="5" spans="1:7">
      <c r="A5" t="s">
        <v>520</v>
      </c>
      <c r="F5" s="41">
        <f>IF('Input Sheet'!B14="Yes",'Input Sheet'!B9+'Operating lease converter'!F32,'Input Sheet'!B9)</f>
        <v>782.3</v>
      </c>
      <c r="G5" s="13" t="s">
        <v>553</v>
      </c>
    </row>
    <row r="6" spans="1:7">
      <c r="A6" t="s">
        <v>521</v>
      </c>
      <c r="F6" s="41">
        <f>IF('Input Sheet'!B14="Yes",'Cost of capital worksheet'!B17+'Operating lease converter'!C28*'Operating lease converter'!C15,'Cost of capital worksheet'!B17)</f>
        <v>98.2</v>
      </c>
      <c r="G6" s="13" t="s">
        <v>554</v>
      </c>
    </row>
    <row r="7" spans="1:7">
      <c r="A7" t="s">
        <v>522</v>
      </c>
      <c r="F7" s="46">
        <f>'Input Sheet'!B27</f>
        <v>4.2700000000000002E-2</v>
      </c>
    </row>
    <row r="8" spans="1:7">
      <c r="A8" t="s">
        <v>421</v>
      </c>
    </row>
    <row r="9" spans="1:7">
      <c r="A9" t="s">
        <v>523</v>
      </c>
      <c r="D9" s="41">
        <f>IF(F6=0,1000000,IF(F5&lt;0,-100000,F5/F6))</f>
        <v>7.9663951120162926</v>
      </c>
    </row>
    <row r="10" spans="1:7">
      <c r="A10" t="s">
        <v>524</v>
      </c>
      <c r="D10" s="41" t="str">
        <f>IF(C4=1,VLOOKUP(D9,A19:D33,3),(IF(C4=2,VLOOKUP(D9,A38:D52,3),VLOOKUP(D9,F19:I33,3))))</f>
        <v>Aa2/AA</v>
      </c>
      <c r="F10" t="s">
        <v>551</v>
      </c>
    </row>
    <row r="11" spans="1:7">
      <c r="A11" t="s">
        <v>525</v>
      </c>
      <c r="D11" s="41">
        <f>IF(C4=1,VLOOKUP(D9,A19:D33,4),(IF(C4=2,VLOOKUP(D9,A38:D52,4),VLOOKUP(D9,F19:I33,4))))</f>
        <v>8.5000000000000006E-3</v>
      </c>
      <c r="F11" t="s">
        <v>552</v>
      </c>
    </row>
    <row r="12" spans="1:7">
      <c r="A12" t="s">
        <v>526</v>
      </c>
      <c r="D12" s="41">
        <f>VLOOKUP('Input Sheet'!B5,'Country equity risk premiums'!A2:C153,3)</f>
        <v>0</v>
      </c>
    </row>
    <row r="13" spans="1:7">
      <c r="A13" t="s">
        <v>527</v>
      </c>
      <c r="D13" s="46">
        <f>F7+D11+D12</f>
        <v>5.1200000000000002E-2</v>
      </c>
    </row>
    <row r="15" spans="1:7">
      <c r="A15" t="s">
        <v>528</v>
      </c>
    </row>
    <row r="16" spans="1:7">
      <c r="A16" t="s">
        <v>529</v>
      </c>
    </row>
    <row r="17" spans="1:4">
      <c r="A17" t="s">
        <v>530</v>
      </c>
    </row>
    <row r="18" spans="1:4">
      <c r="A18" t="s">
        <v>531</v>
      </c>
      <c r="B18" s="20" t="s">
        <v>534</v>
      </c>
      <c r="C18" s="20" t="s">
        <v>535</v>
      </c>
      <c r="D18" s="20" t="s">
        <v>536</v>
      </c>
    </row>
    <row r="19" spans="1:4">
      <c r="A19">
        <v>-100000</v>
      </c>
      <c r="B19" s="21">
        <v>0.19999900000000001</v>
      </c>
      <c r="C19" s="21" t="s">
        <v>537</v>
      </c>
      <c r="D19" s="112">
        <v>0.1744</v>
      </c>
    </row>
    <row r="20" spans="1:4">
      <c r="A20">
        <v>0.2</v>
      </c>
      <c r="B20" s="21">
        <v>0.64999899999999999</v>
      </c>
      <c r="C20" s="21" t="s">
        <v>540</v>
      </c>
      <c r="D20" s="112">
        <v>0.13089999999999999</v>
      </c>
    </row>
    <row r="21" spans="1:4">
      <c r="A21">
        <v>0.65</v>
      </c>
      <c r="B21" s="21">
        <v>0.79999900000000002</v>
      </c>
      <c r="C21" s="21" t="s">
        <v>539</v>
      </c>
      <c r="D21" s="112">
        <v>9.9699999999999997E-2</v>
      </c>
    </row>
    <row r="22" spans="1:4">
      <c r="A22">
        <v>0.8</v>
      </c>
      <c r="B22" s="21">
        <v>1.2499990000000001</v>
      </c>
      <c r="C22" s="21" t="s">
        <v>538</v>
      </c>
      <c r="D22" s="112">
        <v>9.4600000000000004E-2</v>
      </c>
    </row>
    <row r="23" spans="1:4">
      <c r="A23">
        <v>1.25</v>
      </c>
      <c r="B23" s="21">
        <v>1.4999990000000001</v>
      </c>
      <c r="C23" s="21" t="s">
        <v>541</v>
      </c>
      <c r="D23" s="112">
        <v>5.9400000000000001E-2</v>
      </c>
    </row>
    <row r="24" spans="1:4">
      <c r="A24">
        <v>1.5</v>
      </c>
      <c r="B24" s="21">
        <v>1.7499990000000001</v>
      </c>
      <c r="C24" s="21" t="s">
        <v>542</v>
      </c>
      <c r="D24" s="112">
        <v>4.8599999999999997E-2</v>
      </c>
    </row>
    <row r="25" spans="1:4">
      <c r="A25">
        <v>1.75</v>
      </c>
      <c r="B25" s="21">
        <v>1.9999990000000001</v>
      </c>
      <c r="C25" s="21" t="s">
        <v>543</v>
      </c>
      <c r="D25" s="112">
        <v>4.0500000000000001E-2</v>
      </c>
    </row>
    <row r="26" spans="1:4">
      <c r="A26">
        <v>2</v>
      </c>
      <c r="B26" s="21">
        <v>2.2499999000000002</v>
      </c>
      <c r="C26" s="21" t="s">
        <v>544</v>
      </c>
      <c r="D26" s="112">
        <v>2.7699999999999999E-2</v>
      </c>
    </row>
    <row r="27" spans="1:4">
      <c r="A27">
        <v>2.25</v>
      </c>
      <c r="B27" s="21">
        <v>2.4999899999999999</v>
      </c>
      <c r="C27" s="21" t="s">
        <v>545</v>
      </c>
      <c r="D27" s="112">
        <v>2.3099999999999999E-2</v>
      </c>
    </row>
    <row r="28" spans="1:4">
      <c r="A28">
        <v>2.5</v>
      </c>
      <c r="B28" s="21">
        <v>2.9999989999999999</v>
      </c>
      <c r="C28" s="21" t="s">
        <v>500</v>
      </c>
      <c r="D28" s="112">
        <v>1.7100000000000001E-2</v>
      </c>
    </row>
    <row r="29" spans="1:4">
      <c r="A29">
        <v>3</v>
      </c>
      <c r="B29" s="21">
        <v>4.2499989999999999</v>
      </c>
      <c r="C29" s="21" t="s">
        <v>546</v>
      </c>
      <c r="D29" s="112">
        <v>1.3299999999999999E-2</v>
      </c>
    </row>
    <row r="30" spans="1:4">
      <c r="A30">
        <v>4.25</v>
      </c>
      <c r="B30" s="21">
        <v>5.4999989999999999</v>
      </c>
      <c r="C30" s="21" t="s">
        <v>547</v>
      </c>
      <c r="D30" s="112">
        <v>1.18E-2</v>
      </c>
    </row>
    <row r="31" spans="1:4">
      <c r="A31">
        <v>5.5</v>
      </c>
      <c r="B31" s="21">
        <v>6.4999989999999999</v>
      </c>
      <c r="C31" s="21" t="s">
        <v>548</v>
      </c>
      <c r="D31" s="112">
        <v>1.0699999999999999E-2</v>
      </c>
    </row>
    <row r="32" spans="1:4">
      <c r="A32">
        <v>6.5</v>
      </c>
      <c r="B32" s="21">
        <v>8.4999990000000007</v>
      </c>
      <c r="C32" s="21" t="s">
        <v>549</v>
      </c>
      <c r="D32" s="112">
        <v>8.5000000000000006E-3</v>
      </c>
    </row>
    <row r="33" spans="1:8">
      <c r="A33">
        <v>8.5</v>
      </c>
      <c r="B33" s="21">
        <v>100000</v>
      </c>
      <c r="C33" s="21" t="s">
        <v>550</v>
      </c>
      <c r="D33" s="112">
        <v>6.8999999999999999E-3</v>
      </c>
    </row>
    <row r="34" spans="1:8">
      <c r="B34" s="18"/>
      <c r="C34" s="18"/>
      <c r="D34" s="18"/>
    </row>
    <row r="35" spans="1:8">
      <c r="A35" t="s">
        <v>532</v>
      </c>
      <c r="B35" s="18"/>
      <c r="C35" s="18"/>
      <c r="D35" s="18"/>
    </row>
    <row r="36" spans="1:8">
      <c r="A36" t="s">
        <v>530</v>
      </c>
      <c r="B36" s="19"/>
      <c r="C36" s="15"/>
      <c r="D36" s="15"/>
    </row>
    <row r="37" spans="1:8">
      <c r="A37" t="s">
        <v>533</v>
      </c>
      <c r="B37" s="15" t="s">
        <v>534</v>
      </c>
      <c r="C37" s="15" t="s">
        <v>535</v>
      </c>
      <c r="D37" s="15" t="s">
        <v>536</v>
      </c>
    </row>
    <row r="38" spans="1:8">
      <c r="A38">
        <v>-100000</v>
      </c>
      <c r="B38" s="15">
        <v>0.49999900000000003</v>
      </c>
      <c r="C38" s="16" t="s">
        <v>537</v>
      </c>
      <c r="D38" s="17">
        <v>0.1744</v>
      </c>
      <c r="G38" s="21" t="s">
        <v>535</v>
      </c>
      <c r="H38" s="21" t="s">
        <v>536</v>
      </c>
    </row>
    <row r="39" spans="1:8">
      <c r="A39">
        <v>0.5</v>
      </c>
      <c r="B39" s="15">
        <v>0.79999900000000002</v>
      </c>
      <c r="C39" s="16" t="s">
        <v>540</v>
      </c>
      <c r="D39" s="17">
        <v>0.13089999999999999</v>
      </c>
      <c r="G39" s="21" t="s">
        <v>548</v>
      </c>
      <c r="H39" s="22">
        <v>8.9999999999999993E-3</v>
      </c>
    </row>
    <row r="40" spans="1:8">
      <c r="A40">
        <v>0.8</v>
      </c>
      <c r="B40" s="15">
        <v>1.2499990000000001</v>
      </c>
      <c r="C40" s="16" t="s">
        <v>539</v>
      </c>
      <c r="D40" s="17">
        <v>9.9699999999999997E-2</v>
      </c>
      <c r="G40" s="21" t="s">
        <v>547</v>
      </c>
      <c r="H40" s="23">
        <v>0.01</v>
      </c>
    </row>
    <row r="41" spans="1:8">
      <c r="A41">
        <v>1.25</v>
      </c>
      <c r="B41" s="15">
        <v>1.4999990000000001</v>
      </c>
      <c r="C41" s="16" t="s">
        <v>538</v>
      </c>
      <c r="D41" s="17">
        <v>9.4600000000000004E-2</v>
      </c>
      <c r="G41" s="21" t="s">
        <v>546</v>
      </c>
      <c r="H41" s="23">
        <v>1.2E-2</v>
      </c>
    </row>
    <row r="42" spans="1:8">
      <c r="A42">
        <v>1.5</v>
      </c>
      <c r="B42" s="15">
        <v>1.9999990000000001</v>
      </c>
      <c r="C42" s="16" t="s">
        <v>541</v>
      </c>
      <c r="D42" s="17">
        <v>5.9400000000000001E-2</v>
      </c>
      <c r="G42" s="21" t="s">
        <v>549</v>
      </c>
      <c r="H42" s="23">
        <v>7.0000000000000001E-3</v>
      </c>
    </row>
    <row r="43" spans="1:8">
      <c r="A43">
        <v>2</v>
      </c>
      <c r="B43" s="15">
        <v>2.4999989999999999</v>
      </c>
      <c r="C43" s="16" t="s">
        <v>542</v>
      </c>
      <c r="D43" s="17">
        <v>4.8599999999999997E-2</v>
      </c>
      <c r="G43" s="21" t="s">
        <v>550</v>
      </c>
      <c r="H43" s="23">
        <v>4.0000000000000001E-3</v>
      </c>
    </row>
    <row r="44" spans="1:8">
      <c r="A44">
        <v>2.5</v>
      </c>
      <c r="B44" s="15">
        <v>2.9999989999999999</v>
      </c>
      <c r="C44" s="16" t="s">
        <v>543</v>
      </c>
      <c r="D44" s="17">
        <v>4.0500000000000001E-2</v>
      </c>
      <c r="G44" s="21" t="s">
        <v>543</v>
      </c>
      <c r="H44" s="23">
        <v>0.04</v>
      </c>
    </row>
    <row r="45" spans="1:8">
      <c r="A45">
        <v>3</v>
      </c>
      <c r="B45" s="15">
        <v>3.4999989999999999</v>
      </c>
      <c r="C45" s="16" t="s">
        <v>544</v>
      </c>
      <c r="D45" s="17">
        <v>2.7699999999999999E-2</v>
      </c>
      <c r="G45" s="21" t="s">
        <v>542</v>
      </c>
      <c r="H45" s="23">
        <v>0.05</v>
      </c>
    </row>
    <row r="46" spans="1:8">
      <c r="A46">
        <v>3.5</v>
      </c>
      <c r="B46" s="15">
        <v>3.9999999000000002</v>
      </c>
      <c r="C46" s="16" t="s">
        <v>545</v>
      </c>
      <c r="D46" s="17">
        <v>2.3099999999999999E-2</v>
      </c>
      <c r="G46" s="21" t="s">
        <v>541</v>
      </c>
      <c r="H46" s="23">
        <v>0.06</v>
      </c>
    </row>
    <row r="47" spans="1:8">
      <c r="A47">
        <v>4</v>
      </c>
      <c r="B47" s="15">
        <v>4.4999989999999999</v>
      </c>
      <c r="C47" s="16" t="s">
        <v>500</v>
      </c>
      <c r="D47" s="17">
        <v>1.7100000000000001E-2</v>
      </c>
      <c r="G47" s="21" t="s">
        <v>545</v>
      </c>
      <c r="H47" s="23">
        <v>2.75E-2</v>
      </c>
    </row>
    <row r="48" spans="1:8">
      <c r="A48">
        <v>4.5</v>
      </c>
      <c r="B48" s="15">
        <v>5.9999989999999999</v>
      </c>
      <c r="C48" s="16" t="s">
        <v>546</v>
      </c>
      <c r="D48" s="17">
        <v>1.3299999999999999E-2</v>
      </c>
      <c r="G48" s="21" t="s">
        <v>544</v>
      </c>
      <c r="H48" s="23">
        <v>3.2500000000000001E-2</v>
      </c>
    </row>
    <row r="49" spans="1:8">
      <c r="A49">
        <v>6</v>
      </c>
      <c r="B49" s="15">
        <v>7.4999989999999999</v>
      </c>
      <c r="C49" s="16" t="s">
        <v>547</v>
      </c>
      <c r="D49" s="17">
        <v>1.18E-2</v>
      </c>
      <c r="G49" s="21" t="s">
        <v>500</v>
      </c>
      <c r="H49" s="23">
        <v>1.7500000000000002E-2</v>
      </c>
    </row>
    <row r="50" spans="1:8">
      <c r="A50">
        <v>7.5</v>
      </c>
      <c r="B50" s="15">
        <v>9.4999990000000007</v>
      </c>
      <c r="C50" s="16" t="s">
        <v>548</v>
      </c>
      <c r="D50" s="17">
        <v>1.0699999999999999E-2</v>
      </c>
      <c r="G50" s="21" t="s">
        <v>540</v>
      </c>
      <c r="H50" s="23">
        <v>7.0000000000000007E-2</v>
      </c>
    </row>
    <row r="51" spans="1:8">
      <c r="A51">
        <v>9.5</v>
      </c>
      <c r="B51" s="15">
        <v>12.499999000000001</v>
      </c>
      <c r="C51" s="16" t="s">
        <v>549</v>
      </c>
      <c r="D51" s="17">
        <v>8.5000000000000006E-3</v>
      </c>
      <c r="G51" s="21" t="s">
        <v>539</v>
      </c>
      <c r="H51" s="23">
        <v>0.08</v>
      </c>
    </row>
    <row r="52" spans="1:8">
      <c r="A52">
        <v>12.5</v>
      </c>
      <c r="B52" s="15">
        <v>100000</v>
      </c>
      <c r="C52" s="16" t="s">
        <v>550</v>
      </c>
      <c r="D52" s="17">
        <v>6.8999999999999999E-3</v>
      </c>
      <c r="G52" s="21" t="s">
        <v>538</v>
      </c>
      <c r="H52" s="23">
        <v>0.1</v>
      </c>
    </row>
    <row r="53" spans="1:8">
      <c r="G53" s="21" t="s">
        <v>537</v>
      </c>
      <c r="H53" s="23">
        <v>0.12</v>
      </c>
    </row>
  </sheetData>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E27221-12A4-41CF-BA86-AFA4E65BFF26}">
  <sheetPr>
    <tabColor theme="4" tint="0.39997558519241921"/>
  </sheetPr>
  <dimension ref="A1:B153"/>
  <sheetViews>
    <sheetView workbookViewId="0"/>
  </sheetViews>
  <sheetFormatPr defaultRowHeight="15"/>
  <cols>
    <col min="1" max="1" width="29.42578125" bestFit="1" customWidth="1"/>
    <col min="2" max="2" width="24.85546875" bestFit="1" customWidth="1"/>
  </cols>
  <sheetData>
    <row r="1" spans="1:2">
      <c r="A1" t="s">
        <v>35</v>
      </c>
      <c r="B1" t="s">
        <v>36</v>
      </c>
    </row>
    <row r="2" spans="1:2">
      <c r="A2" t="s">
        <v>37</v>
      </c>
      <c r="B2" t="s">
        <v>38</v>
      </c>
    </row>
    <row r="3" spans="1:2">
      <c r="A3" t="s">
        <v>39</v>
      </c>
      <c r="B3" t="s">
        <v>40</v>
      </c>
    </row>
    <row r="4" spans="1:2">
      <c r="A4" t="s">
        <v>41</v>
      </c>
      <c r="B4" t="s">
        <v>42</v>
      </c>
    </row>
    <row r="5" spans="1:2">
      <c r="A5" t="s">
        <v>43</v>
      </c>
      <c r="B5" t="s">
        <v>44</v>
      </c>
    </row>
    <row r="6" spans="1:2">
      <c r="A6" t="s">
        <v>45</v>
      </c>
      <c r="B6" t="s">
        <v>46</v>
      </c>
    </row>
    <row r="7" spans="1:2">
      <c r="A7" t="s">
        <v>47</v>
      </c>
      <c r="B7" t="s">
        <v>40</v>
      </c>
    </row>
    <row r="8" spans="1:2">
      <c r="A8" t="s">
        <v>48</v>
      </c>
      <c r="B8" t="s">
        <v>49</v>
      </c>
    </row>
    <row r="9" spans="1:2">
      <c r="A9" t="s">
        <v>50</v>
      </c>
      <c r="B9" t="s">
        <v>51</v>
      </c>
    </row>
    <row r="10" spans="1:2">
      <c r="A10" t="s">
        <v>52</v>
      </c>
      <c r="B10" t="s">
        <v>42</v>
      </c>
    </row>
    <row r="11" spans="1:2">
      <c r="A11" t="s">
        <v>53</v>
      </c>
      <c r="B11" t="s">
        <v>40</v>
      </c>
    </row>
    <row r="12" spans="1:2">
      <c r="A12" t="s">
        <v>54</v>
      </c>
      <c r="B12" t="s">
        <v>49</v>
      </c>
    </row>
    <row r="13" spans="1:2">
      <c r="A13" t="s">
        <v>55</v>
      </c>
      <c r="B13" t="s">
        <v>38</v>
      </c>
    </row>
    <row r="14" spans="1:2">
      <c r="A14" t="s">
        <v>56</v>
      </c>
      <c r="B14" t="s">
        <v>57</v>
      </c>
    </row>
    <row r="15" spans="1:2">
      <c r="A15" t="s">
        <v>58</v>
      </c>
      <c r="B15" t="s">
        <v>49</v>
      </c>
    </row>
    <row r="16" spans="1:2">
      <c r="A16" t="s">
        <v>59</v>
      </c>
      <c r="B16" t="s">
        <v>40</v>
      </c>
    </row>
    <row r="17" spans="1:2">
      <c r="A17" t="s">
        <v>60</v>
      </c>
      <c r="B17" t="s">
        <v>42</v>
      </c>
    </row>
    <row r="18" spans="1:2">
      <c r="A18" t="s">
        <v>61</v>
      </c>
      <c r="B18" t="s">
        <v>46</v>
      </c>
    </row>
    <row r="19" spans="1:2">
      <c r="A19" t="s">
        <v>62</v>
      </c>
      <c r="B19" t="s">
        <v>44</v>
      </c>
    </row>
    <row r="20" spans="1:2">
      <c r="A20" t="s">
        <v>63</v>
      </c>
      <c r="B20" t="s">
        <v>49</v>
      </c>
    </row>
    <row r="21" spans="1:2">
      <c r="A21" t="s">
        <v>64</v>
      </c>
      <c r="B21" t="s">
        <v>46</v>
      </c>
    </row>
    <row r="22" spans="1:2">
      <c r="A22" t="s">
        <v>65</v>
      </c>
      <c r="B22" t="s">
        <v>40</v>
      </c>
    </row>
    <row r="23" spans="1:2">
      <c r="A23" t="s">
        <v>66</v>
      </c>
      <c r="B23" t="s">
        <v>44</v>
      </c>
    </row>
    <row r="24" spans="1:2">
      <c r="A24" t="s">
        <v>67</v>
      </c>
      <c r="B24" t="s">
        <v>46</v>
      </c>
    </row>
    <row r="25" spans="1:2">
      <c r="A25" t="s">
        <v>68</v>
      </c>
      <c r="B25" t="s">
        <v>40</v>
      </c>
    </row>
    <row r="26" spans="1:2">
      <c r="A26" t="s">
        <v>69</v>
      </c>
      <c r="B26" t="s">
        <v>44</v>
      </c>
    </row>
    <row r="27" spans="1:2">
      <c r="A27" t="s">
        <v>70</v>
      </c>
      <c r="B27" t="s">
        <v>57</v>
      </c>
    </row>
    <row r="28" spans="1:2">
      <c r="A28" t="s">
        <v>71</v>
      </c>
      <c r="B28" t="s">
        <v>44</v>
      </c>
    </row>
    <row r="29" spans="1:2">
      <c r="A29" t="s">
        <v>72</v>
      </c>
      <c r="B29" t="s">
        <v>73</v>
      </c>
    </row>
    <row r="30" spans="1:2">
      <c r="A30" t="s">
        <v>74</v>
      </c>
      <c r="B30" t="s">
        <v>44</v>
      </c>
    </row>
    <row r="31" spans="1:2">
      <c r="A31" t="s">
        <v>75</v>
      </c>
      <c r="B31" t="s">
        <v>49</v>
      </c>
    </row>
    <row r="32" spans="1:2">
      <c r="A32" t="s">
        <v>76</v>
      </c>
      <c r="B32" t="s">
        <v>46</v>
      </c>
    </row>
    <row r="33" spans="1:2">
      <c r="A33" t="s">
        <v>77</v>
      </c>
      <c r="B33" t="s">
        <v>57</v>
      </c>
    </row>
    <row r="34" spans="1:2">
      <c r="A34" t="s">
        <v>78</v>
      </c>
      <c r="B34" t="s">
        <v>46</v>
      </c>
    </row>
    <row r="35" spans="1:2">
      <c r="A35" t="s">
        <v>79</v>
      </c>
      <c r="B35" t="s">
        <v>44</v>
      </c>
    </row>
    <row r="36" spans="1:2">
      <c r="A36" t="s">
        <v>80</v>
      </c>
      <c r="B36" t="s">
        <v>44</v>
      </c>
    </row>
    <row r="37" spans="1:2">
      <c r="A37" t="s">
        <v>81</v>
      </c>
      <c r="B37" t="s">
        <v>51</v>
      </c>
    </row>
    <row r="38" spans="1:2">
      <c r="A38" t="s">
        <v>82</v>
      </c>
      <c r="B38" t="s">
        <v>46</v>
      </c>
    </row>
    <row r="39" spans="1:2">
      <c r="A39" t="s">
        <v>83</v>
      </c>
      <c r="B39" t="s">
        <v>44</v>
      </c>
    </row>
    <row r="40" spans="1:2">
      <c r="A40" t="s">
        <v>84</v>
      </c>
      <c r="B40" t="s">
        <v>40</v>
      </c>
    </row>
    <row r="41" spans="1:2">
      <c r="A41" t="s">
        <v>85</v>
      </c>
      <c r="B41" t="s">
        <v>49</v>
      </c>
    </row>
    <row r="42" spans="1:2">
      <c r="A42" t="s">
        <v>86</v>
      </c>
      <c r="B42" t="s">
        <v>49</v>
      </c>
    </row>
    <row r="43" spans="1:2">
      <c r="A43" t="s">
        <v>87</v>
      </c>
      <c r="B43" t="s">
        <v>42</v>
      </c>
    </row>
    <row r="44" spans="1:2">
      <c r="A44" t="s">
        <v>88</v>
      </c>
      <c r="B44" t="s">
        <v>40</v>
      </c>
    </row>
    <row r="45" spans="1:2">
      <c r="A45" t="s">
        <v>89</v>
      </c>
      <c r="B45" t="s">
        <v>44</v>
      </c>
    </row>
    <row r="46" spans="1:2">
      <c r="A46" t="s">
        <v>90</v>
      </c>
      <c r="B46" t="s">
        <v>42</v>
      </c>
    </row>
    <row r="47" spans="1:2">
      <c r="A47" t="s">
        <v>91</v>
      </c>
      <c r="B47" t="s">
        <v>49</v>
      </c>
    </row>
    <row r="48" spans="1:2">
      <c r="A48" t="s">
        <v>92</v>
      </c>
      <c r="B48" t="s">
        <v>46</v>
      </c>
    </row>
    <row r="49" spans="1:2">
      <c r="A49" t="s">
        <v>93</v>
      </c>
      <c r="B49" t="s">
        <v>44</v>
      </c>
    </row>
    <row r="50" spans="1:2">
      <c r="A50" t="s">
        <v>94</v>
      </c>
      <c r="B50" t="s">
        <v>46</v>
      </c>
    </row>
    <row r="51" spans="1:2">
      <c r="A51" t="s">
        <v>95</v>
      </c>
      <c r="B51" t="s">
        <v>40</v>
      </c>
    </row>
    <row r="52" spans="1:2">
      <c r="A52" t="s">
        <v>96</v>
      </c>
      <c r="B52" t="s">
        <v>44</v>
      </c>
    </row>
    <row r="53" spans="1:2">
      <c r="A53" t="s">
        <v>97</v>
      </c>
      <c r="B53" t="s">
        <v>57</v>
      </c>
    </row>
    <row r="54" spans="1:2">
      <c r="A54" t="s">
        <v>98</v>
      </c>
      <c r="B54" t="s">
        <v>42</v>
      </c>
    </row>
    <row r="55" spans="1:2">
      <c r="A55" t="s">
        <v>99</v>
      </c>
      <c r="B55" t="s">
        <v>42</v>
      </c>
    </row>
    <row r="56" spans="1:2">
      <c r="A56" t="s">
        <v>100</v>
      </c>
      <c r="B56" t="s">
        <v>44</v>
      </c>
    </row>
    <row r="57" spans="1:2">
      <c r="A57" t="s">
        <v>101</v>
      </c>
      <c r="B57" t="s">
        <v>40</v>
      </c>
    </row>
    <row r="58" spans="1:2">
      <c r="A58" t="s">
        <v>102</v>
      </c>
      <c r="B58" t="s">
        <v>42</v>
      </c>
    </row>
    <row r="59" spans="1:2">
      <c r="A59" t="s">
        <v>103</v>
      </c>
      <c r="B59" t="s">
        <v>44</v>
      </c>
    </row>
    <row r="60" spans="1:2">
      <c r="A60" t="s">
        <v>104</v>
      </c>
      <c r="B60" t="s">
        <v>42</v>
      </c>
    </row>
    <row r="61" spans="1:2">
      <c r="A61" t="s">
        <v>105</v>
      </c>
      <c r="B61" t="s">
        <v>46</v>
      </c>
    </row>
    <row r="62" spans="1:2">
      <c r="A62" t="s">
        <v>106</v>
      </c>
      <c r="B62" t="s">
        <v>42</v>
      </c>
    </row>
    <row r="63" spans="1:2">
      <c r="A63" t="s">
        <v>107</v>
      </c>
      <c r="B63" t="s">
        <v>46</v>
      </c>
    </row>
    <row r="64" spans="1:2">
      <c r="A64" t="s">
        <v>108</v>
      </c>
      <c r="B64" t="s">
        <v>57</v>
      </c>
    </row>
    <row r="65" spans="1:2">
      <c r="A65" t="s">
        <v>109</v>
      </c>
      <c r="B65" t="s">
        <v>40</v>
      </c>
    </row>
    <row r="66" spans="1:2">
      <c r="A66" t="s">
        <v>110</v>
      </c>
      <c r="B66" t="s">
        <v>42</v>
      </c>
    </row>
    <row r="67" spans="1:2">
      <c r="A67" t="s">
        <v>111</v>
      </c>
      <c r="B67" t="s">
        <v>57</v>
      </c>
    </row>
    <row r="68" spans="1:2">
      <c r="A68" t="s">
        <v>112</v>
      </c>
      <c r="B68" t="s">
        <v>57</v>
      </c>
    </row>
    <row r="69" spans="1:2">
      <c r="A69" t="s">
        <v>113</v>
      </c>
      <c r="B69" t="s">
        <v>38</v>
      </c>
    </row>
    <row r="70" spans="1:2">
      <c r="A70" t="s">
        <v>114</v>
      </c>
      <c r="B70" t="s">
        <v>42</v>
      </c>
    </row>
    <row r="71" spans="1:2">
      <c r="A71" t="s">
        <v>115</v>
      </c>
      <c r="B71" t="s">
        <v>42</v>
      </c>
    </row>
    <row r="72" spans="1:2">
      <c r="A72" t="s">
        <v>116</v>
      </c>
      <c r="B72" t="s">
        <v>38</v>
      </c>
    </row>
    <row r="73" spans="1:2">
      <c r="A73" t="s">
        <v>117</v>
      </c>
      <c r="B73" t="s">
        <v>42</v>
      </c>
    </row>
    <row r="74" spans="1:2">
      <c r="A74" t="s">
        <v>118</v>
      </c>
      <c r="B74" t="s">
        <v>49</v>
      </c>
    </row>
    <row r="75" spans="1:2">
      <c r="A75" t="s">
        <v>119</v>
      </c>
      <c r="B75" t="s">
        <v>57</v>
      </c>
    </row>
    <row r="76" spans="1:2">
      <c r="A76" t="s">
        <v>120</v>
      </c>
      <c r="B76" t="s">
        <v>42</v>
      </c>
    </row>
    <row r="77" spans="1:2">
      <c r="A77" t="s">
        <v>121</v>
      </c>
      <c r="B77" t="s">
        <v>38</v>
      </c>
    </row>
    <row r="78" spans="1:2">
      <c r="A78" t="s">
        <v>122</v>
      </c>
      <c r="B78" t="s">
        <v>40</v>
      </c>
    </row>
    <row r="79" spans="1:2">
      <c r="A79" t="s">
        <v>123</v>
      </c>
      <c r="B79" t="s">
        <v>44</v>
      </c>
    </row>
    <row r="80" spans="1:2">
      <c r="A80" t="s">
        <v>124</v>
      </c>
      <c r="B80" t="s">
        <v>57</v>
      </c>
    </row>
    <row r="81" spans="1:2">
      <c r="A81" t="s">
        <v>125</v>
      </c>
      <c r="B81" t="s">
        <v>38</v>
      </c>
    </row>
    <row r="82" spans="1:2">
      <c r="A82" t="s">
        <v>126</v>
      </c>
      <c r="B82" t="s">
        <v>40</v>
      </c>
    </row>
    <row r="83" spans="1:2">
      <c r="A83" t="s">
        <v>127</v>
      </c>
      <c r="B83" t="s">
        <v>40</v>
      </c>
    </row>
    <row r="84" spans="1:2">
      <c r="A84" t="s">
        <v>128</v>
      </c>
      <c r="B84" t="s">
        <v>38</v>
      </c>
    </row>
    <row r="85" spans="1:2">
      <c r="A85" t="s">
        <v>129</v>
      </c>
      <c r="B85" t="s">
        <v>42</v>
      </c>
    </row>
    <row r="86" spans="1:2">
      <c r="A86" t="s">
        <v>130</v>
      </c>
      <c r="B86" t="s">
        <v>40</v>
      </c>
    </row>
    <row r="87" spans="1:2">
      <c r="A87" t="s">
        <v>131</v>
      </c>
      <c r="B87" t="s">
        <v>42</v>
      </c>
    </row>
    <row r="88" spans="1:2">
      <c r="A88" t="s">
        <v>132</v>
      </c>
      <c r="B88" t="s">
        <v>57</v>
      </c>
    </row>
    <row r="89" spans="1:2">
      <c r="A89" t="s">
        <v>133</v>
      </c>
      <c r="B89" t="s">
        <v>40</v>
      </c>
    </row>
    <row r="90" spans="1:2">
      <c r="A90" t="s">
        <v>134</v>
      </c>
      <c r="B90" t="s">
        <v>57</v>
      </c>
    </row>
    <row r="91" spans="1:2">
      <c r="A91" t="s">
        <v>135</v>
      </c>
      <c r="B91" t="s">
        <v>42</v>
      </c>
    </row>
    <row r="92" spans="1:2">
      <c r="A92" t="s">
        <v>136</v>
      </c>
      <c r="B92" t="s">
        <v>57</v>
      </c>
    </row>
    <row r="93" spans="1:2">
      <c r="A93" t="s">
        <v>137</v>
      </c>
      <c r="B93" t="s">
        <v>46</v>
      </c>
    </row>
    <row r="94" spans="1:2">
      <c r="A94" t="s">
        <v>138</v>
      </c>
      <c r="B94" t="s">
        <v>40</v>
      </c>
    </row>
    <row r="95" spans="1:2">
      <c r="A95" t="s">
        <v>139</v>
      </c>
      <c r="B95" t="s">
        <v>57</v>
      </c>
    </row>
    <row r="96" spans="1:2">
      <c r="A96" t="s">
        <v>140</v>
      </c>
      <c r="B96" t="s">
        <v>40</v>
      </c>
    </row>
    <row r="97" spans="1:2">
      <c r="A97" t="s">
        <v>141</v>
      </c>
      <c r="B97" t="s">
        <v>49</v>
      </c>
    </row>
    <row r="98" spans="1:2">
      <c r="A98" t="s">
        <v>142</v>
      </c>
      <c r="B98" t="s">
        <v>44</v>
      </c>
    </row>
    <row r="99" spans="1:2">
      <c r="A99" t="s">
        <v>143</v>
      </c>
      <c r="B99" t="s">
        <v>44</v>
      </c>
    </row>
    <row r="100" spans="1:2">
      <c r="A100" t="s">
        <v>144</v>
      </c>
      <c r="B100" t="s">
        <v>44</v>
      </c>
    </row>
    <row r="101" spans="1:2">
      <c r="A101" t="s">
        <v>145</v>
      </c>
      <c r="B101" t="s">
        <v>42</v>
      </c>
    </row>
    <row r="102" spans="1:2">
      <c r="A102" t="s">
        <v>146</v>
      </c>
      <c r="B102" t="s">
        <v>51</v>
      </c>
    </row>
    <row r="103" spans="1:2">
      <c r="A103" t="s">
        <v>147</v>
      </c>
      <c r="B103" t="s">
        <v>46</v>
      </c>
    </row>
    <row r="104" spans="1:2">
      <c r="A104" t="s">
        <v>148</v>
      </c>
      <c r="B104" t="s">
        <v>44</v>
      </c>
    </row>
    <row r="105" spans="1:2">
      <c r="A105" t="s">
        <v>149</v>
      </c>
      <c r="B105" t="s">
        <v>42</v>
      </c>
    </row>
    <row r="106" spans="1:2">
      <c r="A106" t="s">
        <v>150</v>
      </c>
      <c r="B106" t="s">
        <v>38</v>
      </c>
    </row>
    <row r="107" spans="1:2">
      <c r="A107" t="s">
        <v>151</v>
      </c>
      <c r="B107" t="s">
        <v>57</v>
      </c>
    </row>
    <row r="108" spans="1:2">
      <c r="A108" t="s">
        <v>152</v>
      </c>
      <c r="B108" t="s">
        <v>46</v>
      </c>
    </row>
    <row r="109" spans="1:2">
      <c r="A109" t="s">
        <v>153</v>
      </c>
      <c r="B109" t="s">
        <v>57</v>
      </c>
    </row>
    <row r="110" spans="1:2">
      <c r="A110" t="s">
        <v>154</v>
      </c>
      <c r="B110" t="s">
        <v>46</v>
      </c>
    </row>
    <row r="111" spans="1:2">
      <c r="A111" t="s">
        <v>155</v>
      </c>
      <c r="B111" t="s">
        <v>46</v>
      </c>
    </row>
    <row r="112" spans="1:2">
      <c r="A112" t="s">
        <v>156</v>
      </c>
      <c r="B112" t="s">
        <v>57</v>
      </c>
    </row>
    <row r="113" spans="1:2">
      <c r="A113" t="s">
        <v>157</v>
      </c>
      <c r="B113" t="s">
        <v>40</v>
      </c>
    </row>
    <row r="114" spans="1:2">
      <c r="A114" t="s">
        <v>158</v>
      </c>
      <c r="B114" t="s">
        <v>42</v>
      </c>
    </row>
    <row r="115" spans="1:2">
      <c r="A115" t="s">
        <v>159</v>
      </c>
      <c r="B115" t="s">
        <v>38</v>
      </c>
    </row>
    <row r="116" spans="1:2">
      <c r="A116" t="s">
        <v>160</v>
      </c>
      <c r="B116" t="s">
        <v>38</v>
      </c>
    </row>
    <row r="117" spans="1:2">
      <c r="A117" t="s">
        <v>161</v>
      </c>
      <c r="B117" t="s">
        <v>44</v>
      </c>
    </row>
    <row r="118" spans="1:2">
      <c r="A118" t="s">
        <v>162</v>
      </c>
      <c r="B118" t="s">
        <v>40</v>
      </c>
    </row>
    <row r="119" spans="1:2">
      <c r="A119" t="s">
        <v>163</v>
      </c>
      <c r="B119" t="s">
        <v>40</v>
      </c>
    </row>
    <row r="120" spans="1:2">
      <c r="A120" t="s">
        <v>164</v>
      </c>
      <c r="B120" t="s">
        <v>44</v>
      </c>
    </row>
    <row r="121" spans="1:2">
      <c r="A121" t="s">
        <v>165</v>
      </c>
      <c r="B121" t="s">
        <v>38</v>
      </c>
    </row>
    <row r="122" spans="1:2">
      <c r="A122" t="s">
        <v>166</v>
      </c>
      <c r="B122" t="s">
        <v>44</v>
      </c>
    </row>
    <row r="123" spans="1:2">
      <c r="A123" t="s">
        <v>167</v>
      </c>
      <c r="B123" t="s">
        <v>40</v>
      </c>
    </row>
    <row r="124" spans="1:2">
      <c r="A124" t="s">
        <v>168</v>
      </c>
      <c r="B124" t="s">
        <v>38</v>
      </c>
    </row>
    <row r="125" spans="1:2">
      <c r="A125" t="s">
        <v>169</v>
      </c>
      <c r="B125" t="s">
        <v>57</v>
      </c>
    </row>
    <row r="126" spans="1:2">
      <c r="A126" t="s">
        <v>170</v>
      </c>
      <c r="B126" t="s">
        <v>40</v>
      </c>
    </row>
    <row r="127" spans="1:2">
      <c r="A127" t="s">
        <v>171</v>
      </c>
      <c r="B127" t="s">
        <v>40</v>
      </c>
    </row>
    <row r="128" spans="1:2">
      <c r="A128" t="s">
        <v>172</v>
      </c>
      <c r="B128" t="s">
        <v>44</v>
      </c>
    </row>
    <row r="129" spans="1:2">
      <c r="A129" t="s">
        <v>173</v>
      </c>
      <c r="B129" t="s">
        <v>42</v>
      </c>
    </row>
    <row r="130" spans="1:2">
      <c r="A130" t="s">
        <v>174</v>
      </c>
      <c r="B130" t="s">
        <v>57</v>
      </c>
    </row>
    <row r="131" spans="1:2">
      <c r="A131" t="s">
        <v>175</v>
      </c>
      <c r="B131" t="s">
        <v>49</v>
      </c>
    </row>
    <row r="132" spans="1:2">
      <c r="A132" t="s">
        <v>176</v>
      </c>
      <c r="B132" t="s">
        <v>49</v>
      </c>
    </row>
    <row r="133" spans="1:2">
      <c r="A133" t="s">
        <v>177</v>
      </c>
      <c r="B133" t="s">
        <v>46</v>
      </c>
    </row>
    <row r="134" spans="1:2">
      <c r="A134" t="s">
        <v>178</v>
      </c>
      <c r="B134" t="s">
        <v>44</v>
      </c>
    </row>
    <row r="135" spans="1:2">
      <c r="A135" t="s">
        <v>179</v>
      </c>
      <c r="B135" t="s">
        <v>42</v>
      </c>
    </row>
    <row r="136" spans="1:2">
      <c r="A136" t="s">
        <v>180</v>
      </c>
      <c r="B136" t="s">
        <v>42</v>
      </c>
    </row>
    <row r="137" spans="1:2">
      <c r="A137" t="s">
        <v>181</v>
      </c>
      <c r="B137" t="s">
        <v>57</v>
      </c>
    </row>
    <row r="138" spans="1:2">
      <c r="A138" t="s">
        <v>182</v>
      </c>
      <c r="B138" t="s">
        <v>40</v>
      </c>
    </row>
    <row r="139" spans="1:2">
      <c r="A139" t="s">
        <v>183</v>
      </c>
      <c r="B139" t="s">
        <v>57</v>
      </c>
    </row>
    <row r="140" spans="1:2">
      <c r="A140" t="s">
        <v>184</v>
      </c>
      <c r="B140" t="s">
        <v>49</v>
      </c>
    </row>
    <row r="141" spans="1:2">
      <c r="A141" t="s">
        <v>185</v>
      </c>
      <c r="B141" t="s">
        <v>44</v>
      </c>
    </row>
    <row r="142" spans="1:2">
      <c r="A142" t="s">
        <v>186</v>
      </c>
      <c r="B142" t="s">
        <v>42</v>
      </c>
    </row>
    <row r="143" spans="1:2">
      <c r="A143" t="s">
        <v>187</v>
      </c>
      <c r="B143" t="s">
        <v>40</v>
      </c>
    </row>
    <row r="144" spans="1:2">
      <c r="A144" t="s">
        <v>188</v>
      </c>
      <c r="B144" t="s">
        <v>49</v>
      </c>
    </row>
    <row r="145" spans="1:2">
      <c r="A145" t="s">
        <v>189</v>
      </c>
      <c r="B145" t="s">
        <v>44</v>
      </c>
    </row>
    <row r="146" spans="1:2">
      <c r="A146" t="s">
        <v>190</v>
      </c>
      <c r="B146" t="s">
        <v>40</v>
      </c>
    </row>
    <row r="147" spans="1:2">
      <c r="A147" t="s">
        <v>191</v>
      </c>
      <c r="B147" t="s">
        <v>38</v>
      </c>
    </row>
    <row r="148" spans="1:2">
      <c r="A148" t="s">
        <v>192</v>
      </c>
      <c r="B148" t="s">
        <v>42</v>
      </c>
    </row>
    <row r="149" spans="1:2">
      <c r="A149" t="s">
        <v>193</v>
      </c>
      <c r="B149" t="s">
        <v>73</v>
      </c>
    </row>
    <row r="150" spans="1:2">
      <c r="A150" t="s">
        <v>194</v>
      </c>
      <c r="B150" t="s">
        <v>46</v>
      </c>
    </row>
    <row r="151" spans="1:2">
      <c r="A151" t="s">
        <v>195</v>
      </c>
      <c r="B151" t="s">
        <v>46</v>
      </c>
    </row>
    <row r="152" spans="1:2">
      <c r="A152" t="s">
        <v>196</v>
      </c>
      <c r="B152" t="s">
        <v>57</v>
      </c>
    </row>
    <row r="153" spans="1:2">
      <c r="A153" t="s">
        <v>197</v>
      </c>
      <c r="B153" t="s">
        <v>44</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15</vt:i4>
      </vt:variant>
    </vt:vector>
  </HeadingPairs>
  <TitlesOfParts>
    <vt:vector size="15" baseType="lpstr">
      <vt:lpstr>Input Sheet</vt:lpstr>
      <vt:lpstr>Valuation Output</vt:lpstr>
      <vt:lpstr>Checks</vt:lpstr>
      <vt:lpstr>Option value</vt:lpstr>
      <vt:lpstr>R&amp; D converter</vt:lpstr>
      <vt:lpstr>Operating lease converter</vt:lpstr>
      <vt:lpstr>Cost of capital worksheet</vt:lpstr>
      <vt:lpstr>Synthetic rating</vt:lpstr>
      <vt:lpstr>Countries</vt:lpstr>
      <vt:lpstr>Industries</vt:lpstr>
      <vt:lpstr>Industry Averages(US)</vt:lpstr>
      <vt:lpstr>Global industry averages</vt:lpstr>
      <vt:lpstr>Country equity risk premiums</vt:lpstr>
      <vt:lpstr>Answer Keys</vt:lpstr>
      <vt:lpstr>TTM Calc</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Mark Hogan</dc:creator>
  <cp:lastModifiedBy>Mark Hogan</cp:lastModifiedBy>
  <dcterms:created xsi:type="dcterms:W3CDTF">2018-03-02T20:05:44Z</dcterms:created>
  <dcterms:modified xsi:type="dcterms:W3CDTF">2023-11-29T23:57:56Z</dcterms:modified>
</cp:coreProperties>
</file>