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ark\Documents\1Work\1equity research - company folders\MSA\"/>
    </mc:Choice>
  </mc:AlternateContent>
  <xr:revisionPtr revIDLastSave="0" documentId="13_ncr:1_{B12C79AA-A2E0-4189-8A2A-1B8E11EA122E}" xr6:coauthVersionLast="47" xr6:coauthVersionMax="47" xr10:uidLastSave="{00000000-0000-0000-0000-000000000000}"/>
  <bookViews>
    <workbookView xWindow="2745" yWindow="1245" windowWidth="23310" windowHeight="12330"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1" l="1"/>
  <c r="B20" i="1"/>
  <c r="C12" i="1"/>
  <c r="B12" i="1"/>
  <c r="L29" i="18"/>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M102" i="17"/>
  <c r="E7" i="16"/>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l="1"/>
  <c r="C41" i="10" s="1"/>
  <c r="F5" i="12"/>
  <c r="F6" i="12"/>
  <c r="B5" i="6"/>
  <c r="B4" i="6" s="1"/>
  <c r="B25" i="6"/>
  <c r="B39" i="6"/>
  <c r="C39" i="6" s="1"/>
  <c r="D39" i="6" s="1"/>
  <c r="E39" i="6" s="1"/>
  <c r="F39" i="6" s="1"/>
  <c r="G39" i="6" s="1"/>
  <c r="H39" i="6" s="1"/>
  <c r="I39" i="6" s="1"/>
  <c r="J39" i="6" s="1"/>
  <c r="K39" i="6" s="1"/>
  <c r="L39" i="6" s="1"/>
  <c r="D9" i="12" l="1"/>
  <c r="D11" i="12" s="1"/>
  <c r="D13" i="12" s="1"/>
  <c r="D10" i="12"/>
  <c r="I23" i="1"/>
  <c r="F4" i="6"/>
  <c r="F5" i="6" s="1"/>
  <c r="L4" i="6"/>
  <c r="G4" i="6"/>
  <c r="G5" i="6" s="1"/>
  <c r="E4" i="6"/>
  <c r="E5" i="6" s="1"/>
  <c r="H4" i="6"/>
  <c r="H5" i="6" s="1"/>
  <c r="C4" i="6"/>
  <c r="C5" i="6" s="1"/>
  <c r="I4" i="6"/>
  <c r="I5" i="6" s="1"/>
  <c r="K4" i="6"/>
  <c r="K5" i="6" s="1"/>
  <c r="D4" i="6"/>
  <c r="D5" i="6" s="1"/>
  <c r="J4" i="6"/>
  <c r="J5" i="6" s="1"/>
  <c r="B7" i="6"/>
  <c r="B40" i="6" s="1"/>
  <c r="L5" i="6" l="1"/>
  <c r="M4" i="6"/>
  <c r="M5" i="6" s="1"/>
  <c r="C7" i="6"/>
  <c r="C10" i="6"/>
  <c r="D7" i="6" s="1"/>
  <c r="C15" i="9"/>
  <c r="B23" i="10"/>
  <c r="I57" i="17" l="1"/>
  <c r="K58" i="17" s="1"/>
  <c r="K59" i="17" s="1"/>
  <c r="D10" i="6"/>
  <c r="E10" i="6" s="1"/>
  <c r="F7" i="6" s="1"/>
  <c r="F9" i="6" s="1"/>
  <c r="D9" i="6"/>
  <c r="D40" i="6"/>
  <c r="C30" i="17"/>
  <c r="C34" i="17" s="1"/>
  <c r="C40" i="10"/>
  <c r="C42" i="10" s="1"/>
  <c r="C39" i="10"/>
  <c r="C48" i="10"/>
  <c r="I31" i="1"/>
  <c r="N5" i="6"/>
  <c r="M7" i="6"/>
  <c r="C9" i="6"/>
  <c r="B30" i="17"/>
  <c r="B34" i="17" s="1"/>
  <c r="C40" i="6"/>
  <c r="C26" i="9"/>
  <c r="C27" i="9"/>
  <c r="C22" i="9"/>
  <c r="C23" i="9"/>
  <c r="C24" i="9"/>
  <c r="C25" i="9"/>
  <c r="C46" i="10" l="1"/>
  <c r="E46" i="10" s="1"/>
  <c r="C47" i="10" s="1"/>
  <c r="F40" i="6"/>
  <c r="F10" i="6"/>
  <c r="G7" i="6" s="1"/>
  <c r="E7" i="6"/>
  <c r="C28" i="9"/>
  <c r="C43" i="10"/>
  <c r="B48" i="10" s="1"/>
  <c r="C47" i="17" s="1"/>
  <c r="C49" i="17" s="1"/>
  <c r="G10" i="6" l="1"/>
  <c r="H7" i="6" s="1"/>
  <c r="D30" i="17"/>
  <c r="D34" i="17" s="1"/>
  <c r="E40" i="6"/>
  <c r="E9" i="6"/>
  <c r="E30" i="17"/>
  <c r="E34" i="17" s="1"/>
  <c r="F34" i="9"/>
  <c r="F33" i="9"/>
  <c r="F31" i="9"/>
  <c r="F32" i="9" s="1"/>
  <c r="D47" i="10"/>
  <c r="B47" i="10"/>
  <c r="F30" i="17"/>
  <c r="F34" i="17" s="1"/>
  <c r="G40" i="6"/>
  <c r="G9" i="6"/>
  <c r="H10" i="6" l="1"/>
  <c r="I10" i="6" s="1"/>
  <c r="G30" i="17"/>
  <c r="G34" i="17" s="1"/>
  <c r="H40" i="6"/>
  <c r="H9" i="6"/>
  <c r="E47" i="10"/>
  <c r="E48" i="10"/>
  <c r="B28" i="1" s="1"/>
  <c r="I7" i="6" l="1"/>
  <c r="H30" i="17" s="1"/>
  <c r="H34" i="17" s="1"/>
  <c r="I40" i="6"/>
  <c r="J10" i="6"/>
  <c r="J7" i="6"/>
  <c r="P42" i="1"/>
  <c r="L42" i="1"/>
  <c r="C12" i="6"/>
  <c r="J42" i="1"/>
  <c r="I9" i="6" l="1"/>
  <c r="J9" i="6"/>
  <c r="I30" i="17"/>
  <c r="I34" i="17" s="1"/>
  <c r="J40" i="6"/>
  <c r="K10" i="6"/>
  <c r="K7" i="6"/>
  <c r="C13" i="6"/>
  <c r="D12" i="6"/>
  <c r="E12" i="6" s="1"/>
  <c r="F12" i="6" s="1"/>
  <c r="G12" i="6" s="1"/>
  <c r="H12" i="6" s="1"/>
  <c r="I12" i="6" s="1"/>
  <c r="J12" i="6" s="1"/>
  <c r="K12" i="6" s="1"/>
  <c r="L12" i="6" s="1"/>
  <c r="M40" i="6" s="1"/>
  <c r="M8" i="6" s="1"/>
  <c r="N8" i="6" l="1"/>
  <c r="M9" i="6"/>
  <c r="B16" i="6" s="1"/>
  <c r="B18" i="6" s="1"/>
  <c r="J30" i="17"/>
  <c r="J34" i="17" s="1"/>
  <c r="K40" i="6"/>
  <c r="K9" i="6"/>
  <c r="D13" i="6"/>
  <c r="C14" i="6"/>
  <c r="L10" i="6"/>
  <c r="M10" i="6" s="1"/>
  <c r="L7" i="6"/>
  <c r="E13" i="6" l="1"/>
  <c r="D14" i="6"/>
  <c r="K30" i="17"/>
  <c r="K34" i="17" s="1"/>
  <c r="L40" i="6"/>
  <c r="I32" i="1" s="1"/>
  <c r="L9" i="6"/>
  <c r="L30" i="17"/>
  <c r="L34" i="17" s="1"/>
  <c r="F13" i="6" l="1"/>
  <c r="E14" i="6"/>
  <c r="G13" i="6" l="1"/>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<sst xmlns="http://schemas.openxmlformats.org/spreadsheetml/2006/main" count="1533" uniqueCount="709">
  <si>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</si>
  <si>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</si>
  <si>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</si>
  <si>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</si>
  <si>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</si>
  <si>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</si>
  <si>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</si>
  <si>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</si>
  <si>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</si>
  <si>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</si>
  <si>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</si>
  <si>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</si>
  <si>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</si>
  <si>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</si>
  <si>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</si>
  <si>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</si>
  <si>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</si>
  <si>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</si>
  <si>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</si>
  <si>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</si>
  <si>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</si>
  <si>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</si>
  <si>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</si>
  <si>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</si>
  <si>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</si>
  <si>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</si>
  <si>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</si>
  <si>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</si>
  <si>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</si>
  <si>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</si>
  <si>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</si>
  <si>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</si>
  <si>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</si>
  <si>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</si>
  <si>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</si>
  <si>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</si>
  <si>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</si>
  <si>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</si>
  <si>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</si>
  <si>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</si>
  <si>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</si>
  <si>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</si>
  <si>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</si>
  <si>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</si>
  <si>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</si>
  <si>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</si>
  <si>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</si>
  <si>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</si>
  <si>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</si>
  <si>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</si>
  <si>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</si>
  <si>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</si>
  <si>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</si>
  <si>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</si>
  <si>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</si>
  <si>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</si>
  <si>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</si>
  <si>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</si>
  <si>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</si>
  <si>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</si>
  <si>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</si>
  <si>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</si>
  <si>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</si>
  <si>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</si>
  <si>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</si>
  <si>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</si>
  <si>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</si>
  <si>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</si>
  <si>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</si>
  <si>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</si>
  <si>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</si>
  <si>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</si>
  <si>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</si>
  <si>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</si>
  <si>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</si>
  <si>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</si>
  <si>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</si>
  <si>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</si>
  <si>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</si>
  <si>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</si>
  <si>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</si>
  <si>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</si>
  <si>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</si>
  <si>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</si>
  <si>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</si>
  <si>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</si>
  <si>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</si>
  <si>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</si>
  <si>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</si>
  <si>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</si>
  <si>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</si>
  <si>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</si>
  <si>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</si>
  <si>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</si>
  <si>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</si>
  <si>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</si>
  <si>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</si>
  <si>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</si>
  <si>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</si>
  <si>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</si>
  <si>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</si>
  <si>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</si>
  <si>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</si>
  <si>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</si>
  <si>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</si>
  <si>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</si>
  <si>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</si>
  <si>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</si>
  <si>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</si>
  <si>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</si>
  <si>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</si>
  <si>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</si>
  <si>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</si>
  <si>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</si>
  <si>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</si>
  <si>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</si>
  <si>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</si>
  <si>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</si>
  <si>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</si>
  <si>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</si>
  <si>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</si>
  <si>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</si>
  <si>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</si>
  <si>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</si>
  <si>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</si>
  <si>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</si>
  <si>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</si>
  <si>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</si>
  <si>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</si>
  <si>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</si>
  <si>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</si>
  <si>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</si>
  <si>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</si>
  <si>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</si>
  <si>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</si>
  <si>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</si>
  <si>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</si>
  <si>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</si>
  <si>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</si>
  <si>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</si>
  <si>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</si>
  <si>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</si>
  <si>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</si>
  <si>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</si>
  <si>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</si>
  <si>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</si>
  <si>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</si>
  <si>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</si>
  <si>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</si>
  <si>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</si>
  <si>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</si>
  <si>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</si>
  <si>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</si>
  <si>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</si>
  <si>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</si>
  <si>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</si>
  <si>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</si>
  <si>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</si>
  <si>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</si>
  <si>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</si>
  <si>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</si>
  <si>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</si>
  <si>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</si>
  <si>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</si>
  <si>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</si>
  <si>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</si>
  <si>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</si>
  <si>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</si>
  <si>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</si>
  <si>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</si>
  <si>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</si>
  <si>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</si>
  <si>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</si>
  <si>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</si>
  <si>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</si>
  <si>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</si>
  <si>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</si>
  <si>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</si>
  <si>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</si>
  <si>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</si>
  <si>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</si>
  <si>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</si>
  <si>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</si>
  <si>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</si>
  <si>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</si>
  <si>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</si>
  <si>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</si>
  <si>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</si>
  <si>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</si>
  <si>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</si>
  <si>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</si>
  <si>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</si>
  <si>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</si>
  <si>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</si>
  <si>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</si>
  <si>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</si>
  <si>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</si>
  <si>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</si>
  <si>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</si>
  <si>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</si>
  <si>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</si>
  <si>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</si>
  <si>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</si>
  <si>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</si>
  <si>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</si>
  <si>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</si>
  <si>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</si>
  <si>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</si>
  <si>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</si>
  <si>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</si>
  <si>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</si>
  <si>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</si>
  <si>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</si>
  <si>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</si>
  <si>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</si>
  <si>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</si>
  <si>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</si>
  <si>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</si>
  <si>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</si>
  <si>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</si>
  <si>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</si>
  <si>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</si>
  <si>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</si>
  <si>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</si>
  <si>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</si>
  <si>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</si>
  <si>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</si>
  <si>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</si>
  <si>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</si>
  <si>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</si>
  <si>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</si>
  <si>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</si>
  <si>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</si>
  <si>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</si>
  <si>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</si>
  <si>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</si>
  <si>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</si>
  <si>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</si>
  <si>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</si>
  <si>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</si>
  <si>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</si>
  <si>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</si>
  <si>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</si>
  <si>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</si>
  <si>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</si>
  <si>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</si>
  <si>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</si>
  <si>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</si>
  <si>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</si>
  <si>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</si>
  <si>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</si>
  <si>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</si>
  <si>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</si>
  <si>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</si>
  <si>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</si>
  <si>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</si>
  <si>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</si>
  <si>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</si>
  <si>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</si>
  <si>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</si>
  <si>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</si>
  <si>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</si>
  <si>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</si>
  <si>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</si>
  <si>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</si>
  <si>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</si>
  <si>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</si>
  <si>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</si>
  <si>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</si>
  <si>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</si>
  <si>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</si>
  <si>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</si>
  <si>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</si>
  <si>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</si>
  <si>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</si>
  <si>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</si>
  <si>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</si>
  <si>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</si>
  <si>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</si>
  <si>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</si>
  <si>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</si>
  <si>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</si>
  <si>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</si>
  <si>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</si>
  <si>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</si>
  <si>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</si>
  <si>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</si>
  <si>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</si>
  <si>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</si>
  <si>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</si>
  <si>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</si>
  <si>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</si>
  <si>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</si>
  <si>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</si>
  <si>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</si>
  <si>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</si>
  <si>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</si>
  <si>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</si>
  <si>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</si>
  <si>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</si>
  <si>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</si>
  <si>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</si>
  <si>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</si>
  <si>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</si>
  <si>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</si>
  <si>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</si>
  <si>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</si>
  <si>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</si>
  <si>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</si>
  <si>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</si>
  <si>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</si>
  <si>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</si>
  <si>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</si>
  <si>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</si>
  <si>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</si>
  <si>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</si>
  <si>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</si>
  <si>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</si>
  <si>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</si>
  <si>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</si>
  <si>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</si>
  <si>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</si>
  <si>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</si>
  <si>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</si>
  <si>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</si>
  <si>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</si>
  <si>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</si>
  <si>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</si>
  <si>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</si>
  <si>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</si>
  <si>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</si>
  <si>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</si>
  <si>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</si>
  <si>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</si>
  <si>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</si>
  <si>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</si>
  <si>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</si>
  <si>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</si>
  <si>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</si>
  <si>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</si>
  <si>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</si>
  <si>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</si>
  <si>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</si>
  <si>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</si>
  <si>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</si>
  <si>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</si>
  <si>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</si>
  <si>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</si>
  <si>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</si>
  <si>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</si>
  <si>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</si>
  <si>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</si>
  <si>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</si>
  <si>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</si>
  <si>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</si>
  <si>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</si>
  <si>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</si>
  <si>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</si>
  <si>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</si>
  <si>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</si>
  <si>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</si>
  <si>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</si>
  <si>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</si>
  <si>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</si>
  <si>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</si>
  <si>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</si>
  <si>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</si>
  <si>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</si>
  <si>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</si>
  <si>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</si>
  <si>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</si>
  <si>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</si>
  <si>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</si>
  <si>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</si>
  <si>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</si>
  <si>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</si>
  <si>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</si>
  <si>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</si>
  <si>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</si>
  <si>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</si>
  <si>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</si>
  <si>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</si>
  <si>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</si>
  <si>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</si>
  <si>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</si>
  <si>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</si>
  <si>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</si>
  <si>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</si>
  <si>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</si>
  <si>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</si>
  <si>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</si>
  <si>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</si>
  <si>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</si>
  <si>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</si>
  <si>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</si>
  <si>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</si>
  <si>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</si>
  <si>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</si>
  <si>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</si>
  <si>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</si>
  <si>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</si>
  <si>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</si>
  <si>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</si>
  <si>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</si>
  <si>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</si>
  <si>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</si>
  <si>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</si>
  <si>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</si>
  <si>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</si>
  <si>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</si>
  <si>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</si>
  <si>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</si>
  <si>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</si>
  <si>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</si>
  <si>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</si>
  <si>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</si>
  <si>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</si>
  <si>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</si>
  <si>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</si>
  <si>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</si>
  <si>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</si>
  <si>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</si>
  <si>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</si>
  <si>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</si>
  <si>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</si>
  <si>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</si>
  <si>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</si>
  <si>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</si>
  <si>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</si>
  <si>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</si>
  <si>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</si>
  <si>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</si>
  <si>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</si>
  <si>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</si>
  <si>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</si>
  <si>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</si>
  <si>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</si>
  <si>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</si>
  <si>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</si>
  <si>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</si>
  <si>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</si>
  <si>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</si>
  <si>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</si>
  <si>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</si>
  <si>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</si>
  <si>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</si>
  <si>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</si>
  <si>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</si>
  <si>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</si>
  <si>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</si>
  <si>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</si>
  <si>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</si>
  <si>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</si>
  <si>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</si>
  <si>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</si>
  <si>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</si>
  <si>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</si>
  <si>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</si>
  <si>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</si>
  <si>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</si>
  <si>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</si>
  <si>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</si>
  <si>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</si>
  <si>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</si>
  <si>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</si>
  <si>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</si>
  <si>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</si>
  <si>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</si>
  <si>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</si>
  <si>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</si>
  <si>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</si>
  <si>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</si>
  <si>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</si>
  <si>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</si>
  <si>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</si>
  <si>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</si>
  <si>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</si>
  <si>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</si>
  <si>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</si>
  <si>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</si>
  <si>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</si>
  <si>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</si>
  <si>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</si>
  <si>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</si>
  <si>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</si>
  <si>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</si>
  <si>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</si>
  <si>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</si>
  <si>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</si>
  <si>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</si>
  <si>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</si>
  <si>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</si>
  <si>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</si>
  <si>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</si>
  <si>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</si>
  <si>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</si>
  <si>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</si>
  <si>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</si>
  <si>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</si>
  <si>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</si>
  <si>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</si>
  <si>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</si>
  <si>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</si>
  <si>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</si>
  <si>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</si>
  <si>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</si>
  <si>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</si>
  <si>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</si>
  <si>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</si>
  <si>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</si>
  <si>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</si>
  <si>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</si>
  <si>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</si>
  <si>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</si>
  <si>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</si>
  <si>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</si>
  <si>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</si>
  <si>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</si>
  <si>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</si>
  <si>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</si>
  <si>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</si>
  <si>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</si>
  <si>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</si>
  <si>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</si>
  <si>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</si>
  <si>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</si>
  <si>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</si>
  <si>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</si>
  <si>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</si>
  <si>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</si>
  <si>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</si>
  <si>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</si>
  <si>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</si>
  <si>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</si>
  <si>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</si>
  <si>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</si>
  <si>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</si>
  <si>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</si>
  <si>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</si>
  <si>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</si>
  <si>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</si>
  <si>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</si>
  <si>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</si>
  <si>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</si>
  <si>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</si>
  <si>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</si>
  <si>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</si>
  <si>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</si>
  <si>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</si>
  <si>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</si>
  <si>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</si>
  <si>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</si>
  <si>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</si>
  <si>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</si>
  <si>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</si>
  <si>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</si>
  <si>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</si>
  <si>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</si>
  <si>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</si>
  <si>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</si>
  <si>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</si>
  <si>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</si>
  <si>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</si>
  <si>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</si>
  <si>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</si>
  <si>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</si>
  <si>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</si>
  <si>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</si>
  <si>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</si>
  <si>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</si>
  <si>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</si>
  <si>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</si>
  <si>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</si>
  <si>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</si>
  <si>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</si>
  <si>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</si>
  <si>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</si>
  <si>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</si>
  <si>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</si>
  <si>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</si>
  <si>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</si>
  <si>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</si>
  <si>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</si>
  <si>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</si>
  <si>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</si>
  <si>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</si>
  <si>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</si>
  <si>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</si>
  <si>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</si>
  <si>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</si>
  <si>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</si>
  <si>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</si>
  <si>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</si>
  <si>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</si>
  <si>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</si>
  <si>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</si>
  <si>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</si>
  <si>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</si>
  <si>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</si>
  <si>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</si>
  <si>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</si>
  <si>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</si>
  <si>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</si>
  <si>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</si>
  <si>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</si>
  <si>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</si>
  <si>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</si>
  <si>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</si>
  <si>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</si>
  <si>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</si>
  <si>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</si>
  <si>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</si>
  <si>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</si>
  <si>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</si>
  <si>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</si>
  <si>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</si>
  <si>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</si>
  <si>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</si>
  <si>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</si>
  <si>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</si>
  <si>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</si>
  <si>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</si>
  <si>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</si>
  <si>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</si>
  <si>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</si>
  <si>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</si>
  <si>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</si>
  <si>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</si>
  <si>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</si>
  <si>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</si>
  <si>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</si>
  <si>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</si>
  <si>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</si>
  <si>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</si>
  <si>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</si>
  <si>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</si>
  <si>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</si>
  <si>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</si>
  <si>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</si>
  <si>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</si>
  <si>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</si>
  <si>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</si>
  <si>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</si>
  <si>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</si>
  <si>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</si>
  <si>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</si>
  <si>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</si>
  <si>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</si>
  <si>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</si>
  <si>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</si>
  <si>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</si>
  <si>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</si>
  <si>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</si>
  <si>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</si>
  <si>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</si>
  <si>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</si>
  <si>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</si>
  <si>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</si>
  <si>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</si>
  <si>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</si>
  <si>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</si>
  <si>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</si>
  <si>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</si>
  <si>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</si>
  <si>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</si>
  <si>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</si>
  <si>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</si>
  <si>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</si>
  <si>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</si>
  <si>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</si>
  <si>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</si>
  <si>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</si>
  <si>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</si>
  <si>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</si>
  <si>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</si>
  <si>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</si>
  <si>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</si>
  <si>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</si>
  <si>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</si>
  <si>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</si>
  <si>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</si>
  <si>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</si>
  <si>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</si>
  <si>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</si>
  <si>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</si>
  <si>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</si>
  <si>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</si>
  <si>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</si>
  <si>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</si>
  <si>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</si>
  <si>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</si>
  <si>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</si>
  <si>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</si>
  <si>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</si>
  <si>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</si>
  <si>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</si>
  <si>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</si>
  <si>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</si>
  <si>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</si>
  <si>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</si>
  <si>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</si>
  <si>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</si>
  <si>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</si>
  <si>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</si>
  <si>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</si>
  <si>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</si>
  <si>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</si>
  <si>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</si>
  <si>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MSA Safety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</si>
</sst>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5">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2" fillId="0" borderId="0"/>
    <xf numFmtId="9" fontId="32" fillId="0" borderId="0" applyFont="0" applyFill="0" applyBorder="0" applyAlignment="0" applyProtection="0"/>
  </cellStyleXfs>
  <cellXfs count="166">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33" fillId="15" borderId="0" xfId="27" applyFont="1" applyFill="1"/>
    <xf numFmtId="0" fontId="34" fillId="15" borderId="0" xfId="27" applyFont="1" applyFill="1"/>
    <xf numFmtId="0" fontId="35" fillId="15" borderId="0" xfId="27" applyFont="1" applyFill="1"/>
    <xf numFmtId="0" fontId="37" fillId="15" borderId="11" xfId="27" applyFont="1" applyFill="1" applyBorder="1"/>
    <xf numFmtId="0" fontId="38" fillId="15" borderId="11" xfId="27" applyFont="1" applyFill="1" applyBorder="1"/>
    <xf numFmtId="0" fontId="38" fillId="15" borderId="10" xfId="27" applyFont="1" applyFill="1" applyBorder="1"/>
    <xf numFmtId="10" fontId="38" fillId="15" borderId="10" xfId="28" applyNumberFormat="1" applyFont="1" applyFill="1" applyBorder="1"/>
    <xf numFmtId="0" fontId="38" fillId="15" borderId="0" xfId="27" applyFont="1" applyFill="1"/>
    <xf numFmtId="0" fontId="39" fillId="15" borderId="0" xfId="27" applyFont="1" applyFill="1"/>
    <xf numFmtId="0" fontId="39" fillId="15" borderId="10" xfId="27" applyFont="1" applyFill="1" applyBorder="1"/>
    <xf numFmtId="0" fontId="40" fillId="15" borderId="10" xfId="27" applyFont="1" applyFill="1" applyBorder="1" applyAlignment="1">
      <alignment horizontal="center"/>
    </xf>
    <xf numFmtId="0" fontId="39" fillId="15" borderId="10" xfId="27" applyFont="1" applyFill="1" applyBorder="1" applyAlignment="1">
      <alignment horizontal="center"/>
    </xf>
    <xf numFmtId="10" fontId="39" fillId="15" borderId="10" xfId="27" applyNumberFormat="1" applyFont="1" applyFill="1" applyBorder="1" applyAlignment="1">
      <alignment horizontal="center"/>
    </xf>
    <xf numFmtId="10" fontId="35" fillId="15" borderId="0" xfId="27" applyNumberFormat="1" applyFont="1" applyFill="1"/>
    <xf numFmtId="0" fontId="39" fillId="15" borderId="0" xfId="27" applyFont="1" applyFill="1" applyAlignment="1">
      <alignment horizontal="center"/>
    </xf>
    <xf numFmtId="10" fontId="39" fillId="15" borderId="0" xfId="27" applyNumberFormat="1" applyFont="1" applyFill="1" applyAlignment="1">
      <alignment horizontal="center"/>
    </xf>
    <xf numFmtId="0" fontId="42" fillId="15" borderId="0" xfId="27" applyFont="1" applyFill="1"/>
    <xf numFmtId="0" fontId="43" fillId="15" borderId="0" xfId="27" applyFont="1" applyFill="1"/>
    <xf numFmtId="0" fontId="11" fillId="13" borderId="0" xfId="11" applyFill="1"/>
    <xf numFmtId="0" fontId="11" fillId="13" borderId="0" xfId="11" applyFill="1" applyAlignment="1">
      <alignment horizont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44" fillId="14" borderId="24" xfId="0" applyFont="1" applyFill="1" applyBorder="1" applyAlignment="1">
      <alignment horizontal="left" vertical="top" wrapText="1"/>
    </xf>
    <xf numFmtId="0" fontId="44" fillId="14" borderId="0" xfId="0" applyFont="1" applyFill="1" applyAlignment="1">
      <alignment horizontal="left" vertical="top" wrapText="1"/>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36" fillId="15" borderId="19" xfId="27" applyFont="1" applyFill="1" applyBorder="1" applyAlignment="1">
      <alignment horizontal="center"/>
    </xf>
    <xf numFmtId="0" fontId="36" fillId="15" borderId="20" xfId="27" applyFont="1" applyFill="1" applyBorder="1" applyAlignment="1">
      <alignment horizontal="center"/>
    </xf>
    <xf numFmtId="0" fontId="36" fillId="15" borderId="21" xfId="27" applyFont="1" applyFill="1" applyBorder="1" applyAlignment="1">
      <alignment horizontal="center"/>
    </xf>
    <xf numFmtId="0" fontId="35" fillId="15" borderId="0" xfId="27" applyFont="1" applyFill="1" applyAlignment="1">
      <alignment horizontal="center"/>
    </xf>
    <xf numFmtId="0" fontId="41" fillId="15" borderId="22" xfId="27" applyFont="1" applyFill="1" applyBorder="1" applyAlignment="1">
      <alignment horizontal="center" vertical="center" textRotation="90" wrapText="1"/>
    </xf>
    <xf numFmtId="0" fontId="41" fillId="15" borderId="23" xfId="27" applyFont="1" applyFill="1" applyBorder="1" applyAlignment="1">
      <alignment horizontal="center" vertical="center" textRotation="90" wrapText="1"/>
    </xf>
    <xf numFmtId="0" fontId="41"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topLeftCell="A4" workbookViewId="0">
      <selection activeCell="B25" sqref="B25"/>
    </sheetView>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5" width="9.140625" style="3"/>
    <col min="6" max="6" width="9.85546875" style="3" bestFit="1" customWidth="1"/>
    <col min="7"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45341</v>
      </c>
      <c r="H1" s="146" t="s">
        <v>673</v>
      </c>
      <c r="I1" s="146"/>
      <c r="J1" s="146"/>
    </row>
    <row r="2" spans="1:10" ht="15.75">
      <c r="A2" s="4" t="s">
        <v>1</v>
      </c>
      <c r="B2" s="5" t="s">
        <v>708</v>
      </c>
      <c r="H2" s="147"/>
      <c r="I2" s="147"/>
      <c r="J2" s="150"/>
    </row>
    <row r="3" spans="1:10">
      <c r="A3" s="3" t="s">
        <v>32</v>
      </c>
      <c r="H3" s="148"/>
      <c r="I3" s="148"/>
      <c r="J3" s="150"/>
    </row>
    <row r="4" spans="1:10">
      <c r="B4" s="1" t="s">
        <v>33</v>
      </c>
      <c r="C4" s="1" t="s">
        <v>34</v>
      </c>
      <c r="H4" s="149"/>
      <c r="I4" s="149"/>
      <c r="J4" s="150"/>
    </row>
    <row r="5" spans="1:10">
      <c r="A5" s="3" t="s">
        <v>2</v>
      </c>
      <c r="B5" s="6" t="s">
        <v>193</v>
      </c>
    </row>
    <row r="6" spans="1:10">
      <c r="A6" s="3" t="s">
        <v>3</v>
      </c>
      <c r="B6" s="6" t="s">
        <v>251</v>
      </c>
    </row>
    <row r="7" spans="1:10">
      <c r="A7" s="3" t="s">
        <v>4</v>
      </c>
      <c r="B7" s="6" t="s">
        <v>251</v>
      </c>
      <c r="D7" s="3" t="s">
        <v>293</v>
      </c>
    </row>
    <row r="8" spans="1:10">
      <c r="A8" s="3" t="s">
        <v>5</v>
      </c>
      <c r="B8" s="7">
        <v>1787.65</v>
      </c>
      <c r="C8" s="7">
        <v>1527.95</v>
      </c>
      <c r="D8" s="8">
        <v>1</v>
      </c>
      <c r="E8" s="133" t="s">
        <v>705</v>
      </c>
      <c r="F8" s="133"/>
    </row>
    <row r="9" spans="1:10">
      <c r="A9" s="3" t="s">
        <v>6</v>
      </c>
      <c r="B9" s="7">
        <f>231.32+9.3</f>
        <v>240.62</v>
      </c>
      <c r="C9" s="7">
        <v>239.14</v>
      </c>
      <c r="D9" s="8">
        <v>1</v>
      </c>
    </row>
    <row r="10" spans="1:10">
      <c r="A10" s="3" t="s">
        <v>7</v>
      </c>
      <c r="B10" s="7">
        <v>46.73</v>
      </c>
      <c r="C10" s="7">
        <v>21.66</v>
      </c>
    </row>
    <row r="11" spans="1:10">
      <c r="A11" s="3" t="s">
        <v>8</v>
      </c>
      <c r="B11" s="7">
        <v>966.8</v>
      </c>
      <c r="C11" s="7">
        <v>923.74</v>
      </c>
    </row>
    <row r="12" spans="1:10">
      <c r="A12" s="3" t="s">
        <v>9</v>
      </c>
      <c r="B12" s="7">
        <f>26.52+575.17+44.5</f>
        <v>646.18999999999994</v>
      </c>
      <c r="C12" s="7">
        <f>7.39+565.45+35.35</f>
        <v>608.19000000000005</v>
      </c>
    </row>
    <row r="13" spans="1:10">
      <c r="A13" s="3" t="s">
        <v>10</v>
      </c>
      <c r="B13" s="8" t="s">
        <v>294</v>
      </c>
      <c r="C13" s="9" t="s">
        <v>296</v>
      </c>
    </row>
    <row r="14" spans="1:10">
      <c r="A14" s="3" t="s">
        <v>11</v>
      </c>
      <c r="B14" s="8" t="s">
        <v>295</v>
      </c>
      <c r="C14" s="9" t="s">
        <v>297</v>
      </c>
    </row>
    <row r="15" spans="1:10">
      <c r="A15" s="3" t="s">
        <v>12</v>
      </c>
      <c r="B15" s="7">
        <v>146.44</v>
      </c>
      <c r="C15" s="7">
        <v>162.9</v>
      </c>
      <c r="F15" s="3" t="s">
        <v>669</v>
      </c>
    </row>
    <row r="16" spans="1:10">
      <c r="A16" s="3" t="s">
        <v>13</v>
      </c>
      <c r="B16" s="7">
        <v>0</v>
      </c>
      <c r="C16" s="7">
        <v>0</v>
      </c>
      <c r="F16" s="10">
        <v>144</v>
      </c>
    </row>
    <row r="17" spans="1:11">
      <c r="A17" s="3" t="s">
        <v>14</v>
      </c>
      <c r="B17" s="7">
        <v>0</v>
      </c>
      <c r="C17" s="7">
        <v>0</v>
      </c>
    </row>
    <row r="18" spans="1:11">
      <c r="A18" s="3" t="s">
        <v>15</v>
      </c>
      <c r="B18" s="11">
        <v>39.32</v>
      </c>
    </row>
    <row r="19" spans="1:11">
      <c r="A19" s="3" t="s">
        <v>16</v>
      </c>
      <c r="B19" s="7">
        <v>178.45</v>
      </c>
      <c r="E19" s="12" t="s">
        <v>331</v>
      </c>
      <c r="F19" s="13"/>
      <c r="G19" s="13"/>
      <c r="H19" s="13"/>
      <c r="I19" s="13"/>
      <c r="J19" s="13"/>
      <c r="K19" s="14"/>
    </row>
    <row r="20" spans="1:11">
      <c r="A20" s="3" t="s">
        <v>17</v>
      </c>
      <c r="B20" s="15">
        <f>58.9/238.5</f>
        <v>0.24696016771488469</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0.16996629470859648</v>
      </c>
      <c r="J22" s="21">
        <f>VLOOKUP(B6,'Industry Averages(US)'!A2:S96,3)</f>
        <v>0.15850384615384616</v>
      </c>
      <c r="K22" s="21">
        <f>VLOOKUP(B7,'Global industry averages'!A2:N96,3)</f>
        <v>7.1007029702970265E-2</v>
      </c>
    </row>
    <row r="23" spans="1:11">
      <c r="A23" s="3" t="s">
        <v>20</v>
      </c>
      <c r="B23" s="22">
        <v>0.06</v>
      </c>
      <c r="C23" s="15">
        <v>0.05</v>
      </c>
      <c r="D23" s="9" t="s">
        <v>298</v>
      </c>
      <c r="E23" s="16" t="s">
        <v>334</v>
      </c>
      <c r="I23" s="21">
        <f>'Valuation Output'!B4</f>
        <v>0.14052806757474898</v>
      </c>
      <c r="J23" s="21">
        <f>VLOOKUP(B6,'Industry Averages(US)'!A2:S96,4)</f>
        <v>7.2923117575051641E-2</v>
      </c>
      <c r="K23" s="21">
        <f>VLOOKUP(B7,'Global industry averages'!A2:N96,4)</f>
        <v>7.0961579936263952E-2</v>
      </c>
    </row>
    <row r="24" spans="1:11">
      <c r="A24" s="3" t="s">
        <v>21</v>
      </c>
      <c r="B24" s="15">
        <v>0.24</v>
      </c>
      <c r="D24" s="9" t="s">
        <v>299</v>
      </c>
      <c r="E24" s="16" t="s">
        <v>335</v>
      </c>
      <c r="I24" s="23">
        <f>B8/(B11+B12-B15)</f>
        <v>1.2189492345982069</v>
      </c>
      <c r="J24" s="23">
        <f>VLOOKUP(B6,'Industry Averages(US)'!A2:S97,14)</f>
        <v>2.0704085648273138</v>
      </c>
      <c r="K24" s="23">
        <f>VLOOKUP(B7,'Global industry averages'!A2:N96,14)</f>
        <v>1.9486920792014812</v>
      </c>
    </row>
    <row r="25" spans="1:11">
      <c r="A25" s="3" t="s">
        <v>22</v>
      </c>
      <c r="B25" s="24">
        <v>1.5</v>
      </c>
      <c r="C25" s="25">
        <v>2</v>
      </c>
      <c r="D25" s="9" t="s">
        <v>300</v>
      </c>
      <c r="E25" s="16" t="s">
        <v>336</v>
      </c>
      <c r="I25" s="21">
        <f>B9*(1-B20)/(C11+C12-C15-C16+C17)</f>
        <v>0.13235388884425064</v>
      </c>
      <c r="J25" s="21">
        <f>VLOOKUP(B6,'Industry Averages(US)'!A2:S97,5)</f>
        <v>0.12926389341779917</v>
      </c>
      <c r="K25" s="21">
        <f>VLOOKUP(B7,'Global industry averages'!A2:N96,5)</f>
        <v>0.11212639112128629</v>
      </c>
    </row>
    <row r="26" spans="1:11">
      <c r="A26" s="1" t="s">
        <v>23</v>
      </c>
      <c r="E26" s="16" t="s">
        <v>337</v>
      </c>
      <c r="I26" s="16"/>
      <c r="J26" s="21">
        <f>VLOOKUP(B6,'Industry Averages(US)'!A2:S97,10)</f>
        <v>0.30280062793938978</v>
      </c>
      <c r="K26" s="21">
        <f>VLOOKUP(B6,'Global industry averages'!A2:Z96,10)</f>
        <v>0.2790876657137058</v>
      </c>
    </row>
    <row r="27" spans="1:11">
      <c r="A27" s="3" t="s">
        <v>24</v>
      </c>
      <c r="B27" s="15">
        <v>4.2999999999999997E-2</v>
      </c>
      <c r="E27" s="26" t="s">
        <v>338</v>
      </c>
      <c r="F27" s="27"/>
      <c r="G27" s="27"/>
      <c r="H27" s="27"/>
      <c r="I27" s="26"/>
      <c r="J27" s="21">
        <f>VLOOKUP(B6,'Industry Averages(US)'!A2:S96,13)</f>
        <v>7.2926316901414823E-2</v>
      </c>
      <c r="K27" s="21">
        <f>VLOOKUP(B6,'Global industry averages'!A2:Z96,13)</f>
        <v>8.2166797901965696E-2</v>
      </c>
    </row>
    <row r="28" spans="1:11">
      <c r="A28" s="3" t="s">
        <v>25</v>
      </c>
      <c r="B28" s="28">
        <f>'Cost of capital worksheet'!E48</f>
        <v>7.7253641887784039E-2</v>
      </c>
      <c r="C28" s="9" t="s">
        <v>301</v>
      </c>
    </row>
    <row r="29" spans="1:11">
      <c r="A29" s="1" t="s">
        <v>26</v>
      </c>
      <c r="D29" s="12" t="s">
        <v>342</v>
      </c>
      <c r="E29" s="13"/>
      <c r="F29" s="13"/>
      <c r="G29" s="13"/>
      <c r="H29" s="13"/>
      <c r="I29" s="14"/>
    </row>
    <row r="30" spans="1:11">
      <c r="A30" s="3" t="s">
        <v>27</v>
      </c>
      <c r="B30" s="8" t="s">
        <v>295</v>
      </c>
      <c r="D30" s="16" t="s">
        <v>343</v>
      </c>
      <c r="I30" s="29">
        <f>'Valuation Output'!M3</f>
        <v>3033.791466393272</v>
      </c>
    </row>
    <row r="31" spans="1:11">
      <c r="A31" s="3" t="s">
        <v>28</v>
      </c>
      <c r="B31" s="24">
        <v>3.6</v>
      </c>
      <c r="D31" s="16" t="s">
        <v>344</v>
      </c>
      <c r="I31" s="30">
        <f>'Valuation Output'!M5</f>
        <v>728.10995193438521</v>
      </c>
    </row>
    <row r="32" spans="1:11">
      <c r="A32" s="3" t="s">
        <v>29</v>
      </c>
      <c r="B32" s="31">
        <v>82.6</v>
      </c>
      <c r="D32" s="16" t="s">
        <v>345</v>
      </c>
      <c r="I32" s="28">
        <f>'Valuation Output'!L40</f>
        <v>0.24234829659919579</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0.10299999999999999</v>
      </c>
      <c r="K39" s="36">
        <f>B27+4%</f>
        <v>8.299999999999999E-2</v>
      </c>
    </row>
    <row r="40" spans="1:18">
      <c r="A40" s="3" t="s">
        <v>306</v>
      </c>
      <c r="P40" s="134" t="s">
        <v>617</v>
      </c>
      <c r="Q40" s="135"/>
      <c r="R40" s="136"/>
    </row>
    <row r="41" spans="1:18">
      <c r="A41" s="3" t="s">
        <v>304</v>
      </c>
      <c r="B41" s="8" t="s">
        <v>295</v>
      </c>
      <c r="C41" s="9" t="s">
        <v>323</v>
      </c>
      <c r="J41" s="140" t="s">
        <v>612</v>
      </c>
      <c r="K41" s="141"/>
      <c r="L41" s="141" t="s">
        <v>613</v>
      </c>
      <c r="M41" s="141"/>
      <c r="N41" s="142"/>
      <c r="P41" s="26" t="s">
        <v>614</v>
      </c>
      <c r="Q41" s="27" t="s">
        <v>615</v>
      </c>
      <c r="R41" s="32" t="s">
        <v>616</v>
      </c>
    </row>
    <row r="42" spans="1:18">
      <c r="A42" s="3" t="s">
        <v>307</v>
      </c>
      <c r="B42" s="15">
        <v>8.8999999999999996E-2</v>
      </c>
      <c r="C42" s="9" t="s">
        <v>324</v>
      </c>
      <c r="J42" s="143">
        <f>B28+5%</f>
        <v>0.12725364188778404</v>
      </c>
      <c r="K42" s="144"/>
      <c r="L42" s="144">
        <f>B28+2.5%</f>
        <v>0.10225364188778405</v>
      </c>
      <c r="M42" s="144"/>
      <c r="N42" s="145"/>
      <c r="O42" s="3" t="s">
        <v>626</v>
      </c>
      <c r="P42" s="37">
        <f>B28+5%</f>
        <v>0.12725364188778404</v>
      </c>
      <c r="Q42" s="38">
        <f>J39+5%</f>
        <v>0.153</v>
      </c>
      <c r="R42" s="39">
        <f>K39+5%</f>
        <v>0.13300000000000001</v>
      </c>
    </row>
    <row r="43" spans="1:18">
      <c r="A43" s="3" t="s">
        <v>308</v>
      </c>
      <c r="J43" s="137">
        <f>'Valuation Output'!M12+5%</f>
        <v>0.13800000000000001</v>
      </c>
      <c r="K43" s="138"/>
      <c r="L43" s="138">
        <f>'Valuation Output'!M12+2.5%</f>
        <v>0.11299999999999999</v>
      </c>
      <c r="M43" s="138"/>
      <c r="N43" s="139"/>
      <c r="O43" s="3" t="s">
        <v>627</v>
      </c>
      <c r="P43" s="40">
        <f>'Valuation Output'!M12+5%</f>
        <v>0.13800000000000001</v>
      </c>
      <c r="Q43" s="41">
        <f>J39+5%</f>
        <v>0.153</v>
      </c>
      <c r="R43" s="42">
        <f>K39+5%</f>
        <v>0.13300000000000001</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H1:J1"/>
    <mergeCell ref="H2:I2"/>
    <mergeCell ref="H3:I3"/>
    <mergeCell ref="H4:I4"/>
    <mergeCell ref="J2:J4"/>
    <mergeCell ref="E8:F8"/>
    <mergeCell ref="P40:R40"/>
    <mergeCell ref="J43:K43"/>
    <mergeCell ref="L43:N43"/>
    <mergeCell ref="J41:K41"/>
    <mergeCell ref="L41:N41"/>
    <mergeCell ref="J42:K42"/>
    <mergeCell ref="L42:N42"/>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19"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5.2219473999336782E-2</v>
      </c>
      <c r="E2" s="53">
        <v>7.219473999336784E-3</v>
      </c>
      <c r="F2" s="53">
        <v>0.15</v>
      </c>
      <c r="G2" s="3" t="s">
        <v>38</v>
      </c>
      <c r="K2" s="58"/>
    </row>
    <row r="3" spans="1:11">
      <c r="A3" s="3" t="s">
        <v>39</v>
      </c>
      <c r="B3" s="3">
        <v>13.04</v>
      </c>
      <c r="C3" s="53">
        <v>5.5078211009174309E-2</v>
      </c>
      <c r="D3" s="53">
        <f>$D$148+E3</f>
        <v>0.11083472718442829</v>
      </c>
      <c r="E3" s="53">
        <v>6.5834727184428288E-2</v>
      </c>
      <c r="F3" s="53">
        <v>0.15</v>
      </c>
      <c r="G3" s="3" t="s">
        <v>40</v>
      </c>
      <c r="K3" s="58"/>
    </row>
    <row r="4" spans="1:11">
      <c r="A4" s="3" t="s">
        <v>590</v>
      </c>
      <c r="B4" s="3">
        <v>3.01</v>
      </c>
      <c r="C4" s="53">
        <v>2.3296788990825688E-2</v>
      </c>
      <c r="D4" s="53">
        <f t="shared" ref="D4:D67" si="0">$D$148+E4</f>
        <v>7.2846542568870451E-2</v>
      </c>
      <c r="E4" s="53">
        <v>2.7846542568870453E-2</v>
      </c>
      <c r="F4" s="53">
        <v>0.1</v>
      </c>
      <c r="G4" s="3" t="s">
        <v>42</v>
      </c>
      <c r="K4" s="58"/>
    </row>
    <row r="5" spans="1:11">
      <c r="A5" s="3" t="s">
        <v>43</v>
      </c>
      <c r="B5" s="3">
        <v>124.21</v>
      </c>
      <c r="C5" s="53">
        <v>7.9525458715596339E-2</v>
      </c>
      <c r="D5" s="53">
        <f t="shared" si="0"/>
        <v>0.14005640765793431</v>
      </c>
      <c r="E5" s="53">
        <v>9.5056407657934314E-2</v>
      </c>
      <c r="F5" s="53">
        <v>0.25</v>
      </c>
      <c r="G5" s="3" t="s">
        <v>44</v>
      </c>
      <c r="K5" s="58"/>
    </row>
    <row r="6" spans="1:11">
      <c r="A6" s="3" t="s">
        <v>45</v>
      </c>
      <c r="B6" s="3">
        <v>637.59</v>
      </c>
      <c r="C6" s="53">
        <v>0.14682729357798166</v>
      </c>
      <c r="D6" s="53">
        <f t="shared" si="0"/>
        <v>0.22050197507911562</v>
      </c>
      <c r="E6" s="53">
        <v>0.17550197507911564</v>
      </c>
      <c r="F6" s="53">
        <v>0.35</v>
      </c>
      <c r="G6" s="3" t="s">
        <v>46</v>
      </c>
      <c r="K6" s="58"/>
    </row>
    <row r="7" spans="1:11">
      <c r="A7" s="3" t="s">
        <v>47</v>
      </c>
      <c r="B7" s="3">
        <v>11.54</v>
      </c>
      <c r="C7" s="53">
        <v>4.4005045871559637E-2</v>
      </c>
      <c r="D7" s="53">
        <f t="shared" si="0"/>
        <v>9.7599024852310853E-2</v>
      </c>
      <c r="E7" s="53">
        <v>5.2599024852310855E-2</v>
      </c>
      <c r="F7" s="53">
        <v>0.18</v>
      </c>
      <c r="G7" s="3" t="s">
        <v>40</v>
      </c>
      <c r="K7" s="58"/>
    </row>
    <row r="8" spans="1:11">
      <c r="A8" s="3" t="s">
        <v>48</v>
      </c>
      <c r="B8" s="3">
        <v>3</v>
      </c>
      <c r="C8" s="53">
        <v>2.3296788990825688E-2</v>
      </c>
      <c r="D8" s="53">
        <f t="shared" si="0"/>
        <v>7.2846542568870451E-2</v>
      </c>
      <c r="E8" s="53">
        <v>2.7846542568870453E-2</v>
      </c>
      <c r="F8" s="53">
        <v>0.25</v>
      </c>
      <c r="G8" s="3" t="s">
        <v>49</v>
      </c>
      <c r="K8" s="58"/>
    </row>
    <row r="9" spans="1:11">
      <c r="A9" s="3" t="s">
        <v>50</v>
      </c>
      <c r="B9" s="3">
        <v>1323.42</v>
      </c>
      <c r="C9" s="53">
        <v>0</v>
      </c>
      <c r="D9" s="53">
        <f t="shared" si="0"/>
        <v>4.4999999999999998E-2</v>
      </c>
      <c r="E9" s="53">
        <v>0</v>
      </c>
      <c r="F9" s="53">
        <v>0.3</v>
      </c>
      <c r="G9" s="3" t="s">
        <v>51</v>
      </c>
      <c r="K9" s="58"/>
    </row>
    <row r="10" spans="1:11">
      <c r="A10" s="3" t="s">
        <v>52</v>
      </c>
      <c r="B10" s="3">
        <v>416.6</v>
      </c>
      <c r="C10" s="53">
        <v>4.8894495412844033E-3</v>
      </c>
      <c r="D10" s="53">
        <f t="shared" si="0"/>
        <v>5.0844336094701202E-2</v>
      </c>
      <c r="E10" s="53">
        <v>5.8443360947012038E-3</v>
      </c>
      <c r="F10" s="53">
        <v>0.24</v>
      </c>
      <c r="G10" s="3" t="s">
        <v>42</v>
      </c>
      <c r="K10" s="58"/>
    </row>
    <row r="11" spans="1:11">
      <c r="A11" s="3" t="s">
        <v>53</v>
      </c>
      <c r="B11" s="3">
        <v>40.75</v>
      </c>
      <c r="C11" s="53">
        <v>3.0630963302752296E-2</v>
      </c>
      <c r="D11" s="53">
        <f t="shared" si="0"/>
        <v>8.161304671092226E-2</v>
      </c>
      <c r="E11" s="53">
        <v>3.6613046710922262E-2</v>
      </c>
      <c r="F11" s="53">
        <v>0.2</v>
      </c>
      <c r="G11" s="3" t="s">
        <v>40</v>
      </c>
      <c r="K11" s="58"/>
    </row>
    <row r="12" spans="1:11">
      <c r="A12" s="3" t="s">
        <v>54</v>
      </c>
      <c r="B12" s="3">
        <v>12.16</v>
      </c>
      <c r="C12" s="53">
        <v>5.5078211009174309E-2</v>
      </c>
      <c r="D12" s="53">
        <f t="shared" si="0"/>
        <v>0.11083472718442829</v>
      </c>
      <c r="E12" s="53">
        <v>6.5834727184428288E-2</v>
      </c>
      <c r="F12" s="53">
        <v>0</v>
      </c>
      <c r="G12" s="3" t="s">
        <v>49</v>
      </c>
      <c r="K12" s="58"/>
    </row>
    <row r="13" spans="1:11">
      <c r="A13" s="3" t="s">
        <v>55</v>
      </c>
      <c r="B13" s="3">
        <v>35.31</v>
      </c>
      <c r="C13" s="53">
        <v>6.7301834862385335E-2</v>
      </c>
      <c r="D13" s="53">
        <f t="shared" si="0"/>
        <v>0.12544556742118129</v>
      </c>
      <c r="E13" s="53">
        <v>8.0445567421181294E-2</v>
      </c>
      <c r="F13" s="53">
        <v>0</v>
      </c>
      <c r="G13" s="3" t="s">
        <v>38</v>
      </c>
      <c r="K13" s="58"/>
    </row>
    <row r="14" spans="1:11">
      <c r="A14" s="3" t="s">
        <v>56</v>
      </c>
      <c r="B14" s="3">
        <v>249.72</v>
      </c>
      <c r="C14" s="53">
        <v>4.4005045871559637E-2</v>
      </c>
      <c r="D14" s="53">
        <f t="shared" si="0"/>
        <v>0.11083472718442829</v>
      </c>
      <c r="E14" s="53">
        <v>6.5834727184428288E-2</v>
      </c>
      <c r="F14" s="53">
        <v>0.32500000000000001</v>
      </c>
      <c r="G14" s="3" t="s">
        <v>57</v>
      </c>
      <c r="K14" s="58"/>
    </row>
    <row r="15" spans="1:11">
      <c r="A15" s="3" t="s">
        <v>58</v>
      </c>
      <c r="B15" s="3">
        <v>4.8</v>
      </c>
      <c r="C15" s="53">
        <v>9.1749082568807344E-2</v>
      </c>
      <c r="D15" s="53">
        <f t="shared" si="0"/>
        <v>0.14005640765793431</v>
      </c>
      <c r="E15" s="53">
        <v>9.5056407657934314E-2</v>
      </c>
      <c r="F15" s="53">
        <v>5.5E-2</v>
      </c>
      <c r="G15" s="3" t="s">
        <v>49</v>
      </c>
      <c r="K15" s="58"/>
    </row>
    <row r="16" spans="1:11">
      <c r="A16" s="3" t="s">
        <v>59</v>
      </c>
      <c r="B16" s="3">
        <v>54.44</v>
      </c>
      <c r="C16" s="53">
        <v>0.14682729357798166</v>
      </c>
      <c r="D16" s="53">
        <f t="shared" si="0"/>
        <v>0.27992692770782934</v>
      </c>
      <c r="E16" s="53">
        <v>0.23492692770782936</v>
      </c>
      <c r="F16" s="53">
        <v>0.18</v>
      </c>
      <c r="G16" s="3" t="s">
        <v>40</v>
      </c>
      <c r="K16" s="58"/>
    </row>
    <row r="17" spans="1:11">
      <c r="A17" s="3" t="s">
        <v>60</v>
      </c>
      <c r="B17" s="3">
        <v>492.68</v>
      </c>
      <c r="C17" s="53">
        <v>7.3341743119266058E-3</v>
      </c>
      <c r="D17" s="53">
        <f t="shared" si="0"/>
        <v>5.3766504142051808E-2</v>
      </c>
      <c r="E17" s="53">
        <v>8.7665041420518092E-3</v>
      </c>
      <c r="F17" s="53">
        <v>0.25</v>
      </c>
      <c r="G17" s="3" t="s">
        <v>42</v>
      </c>
      <c r="K17" s="58"/>
    </row>
    <row r="18" spans="1:11">
      <c r="A18" s="3" t="s">
        <v>61</v>
      </c>
      <c r="B18" s="3">
        <v>1.84</v>
      </c>
      <c r="C18" s="53">
        <v>0.11015642201834862</v>
      </c>
      <c r="D18" s="53">
        <f t="shared" si="0"/>
        <v>0.17666945436885656</v>
      </c>
      <c r="E18" s="53">
        <v>0.13166945436885658</v>
      </c>
      <c r="F18" s="53"/>
      <c r="G18" s="3" t="s">
        <v>46</v>
      </c>
      <c r="K18" s="58"/>
    </row>
    <row r="19" spans="1:11">
      <c r="A19" s="3" t="s">
        <v>63</v>
      </c>
      <c r="B19" s="3">
        <v>6.2</v>
      </c>
      <c r="C19" s="53">
        <v>1.0354128440366973E-2</v>
      </c>
      <c r="D19" s="53">
        <f t="shared" si="0"/>
        <v>5.73762411417202E-2</v>
      </c>
      <c r="E19" s="53">
        <v>1.2376241141720201E-2</v>
      </c>
      <c r="F19" s="53">
        <v>0</v>
      </c>
      <c r="G19" s="3" t="s">
        <v>49</v>
      </c>
      <c r="K19" s="58"/>
    </row>
    <row r="20" spans="1:11">
      <c r="A20" s="3" t="s">
        <v>64</v>
      </c>
      <c r="B20" s="3">
        <v>37.51</v>
      </c>
      <c r="C20" s="53">
        <v>6.7301834862385335E-2</v>
      </c>
      <c r="D20" s="53">
        <f t="shared" si="0"/>
        <v>0.15466724789468733</v>
      </c>
      <c r="E20" s="53">
        <v>0.10966724789468733</v>
      </c>
      <c r="F20" s="53">
        <v>0.25</v>
      </c>
      <c r="G20" s="3" t="s">
        <v>46</v>
      </c>
      <c r="K20" s="58"/>
    </row>
    <row r="21" spans="1:11">
      <c r="A21" s="3" t="s">
        <v>65</v>
      </c>
      <c r="B21" s="3">
        <v>18.170000000000002</v>
      </c>
      <c r="C21" s="53">
        <v>7.9525458715596339E-2</v>
      </c>
      <c r="D21" s="53">
        <f t="shared" si="0"/>
        <v>0.14005640765793431</v>
      </c>
      <c r="E21" s="53">
        <v>9.5056407657934314E-2</v>
      </c>
      <c r="F21" s="53">
        <v>0.1</v>
      </c>
      <c r="G21" s="3" t="s">
        <v>40</v>
      </c>
      <c r="K21" s="58"/>
    </row>
    <row r="22" spans="1:11">
      <c r="A22" s="3" t="s">
        <v>66</v>
      </c>
      <c r="B22" s="3">
        <v>17.406530780715503</v>
      </c>
      <c r="C22" s="53">
        <v>1.4668348623853212E-2</v>
      </c>
      <c r="D22" s="53">
        <f t="shared" si="0"/>
        <v>6.2533008284103617E-2</v>
      </c>
      <c r="E22" s="53">
        <v>1.7533008284103618E-2</v>
      </c>
      <c r="F22" s="53">
        <v>0.22</v>
      </c>
      <c r="G22" s="3" t="s">
        <v>44</v>
      </c>
      <c r="K22" s="58"/>
    </row>
    <row r="23" spans="1:11">
      <c r="A23" s="3" t="s">
        <v>67</v>
      </c>
      <c r="B23" s="3">
        <v>2055.5055022247288</v>
      </c>
      <c r="C23" s="53">
        <v>3.6814678899082569E-2</v>
      </c>
      <c r="D23" s="53">
        <f t="shared" si="0"/>
        <v>8.9004412948338496E-2</v>
      </c>
      <c r="E23" s="53">
        <v>4.4004412948338498E-2</v>
      </c>
      <c r="F23" s="53">
        <v>0.34</v>
      </c>
      <c r="G23" s="3" t="s">
        <v>46</v>
      </c>
      <c r="K23" s="58"/>
    </row>
    <row r="24" spans="1:11">
      <c r="A24" s="3" t="s">
        <v>68</v>
      </c>
      <c r="B24" s="3">
        <v>56.831518294439654</v>
      </c>
      <c r="C24" s="53">
        <v>1.9557798165137613E-2</v>
      </c>
      <c r="D24" s="53">
        <f t="shared" si="0"/>
        <v>6.8377344378804827E-2</v>
      </c>
      <c r="E24" s="53">
        <v>2.3377344378804829E-2</v>
      </c>
      <c r="F24" s="53">
        <v>0.1</v>
      </c>
      <c r="G24" s="3" t="s">
        <v>40</v>
      </c>
      <c r="K24" s="58"/>
    </row>
    <row r="25" spans="1:11">
      <c r="A25" s="3" t="s">
        <v>69</v>
      </c>
      <c r="B25" s="3">
        <v>12.87311480001652</v>
      </c>
      <c r="C25" s="53">
        <v>9.1749082568807344E-2</v>
      </c>
      <c r="D25" s="53">
        <f t="shared" si="0"/>
        <v>0.15466724789468733</v>
      </c>
      <c r="E25" s="53">
        <v>0.10966724789468733</v>
      </c>
      <c r="F25" s="53">
        <v>0.28000000000000003</v>
      </c>
      <c r="G25" s="3" t="s">
        <v>44</v>
      </c>
      <c r="K25" s="58"/>
    </row>
    <row r="26" spans="1:11">
      <c r="A26" s="3" t="s">
        <v>70</v>
      </c>
      <c r="B26" s="3">
        <v>22.158209502639128</v>
      </c>
      <c r="C26" s="53">
        <v>6.7301834862385335E-2</v>
      </c>
      <c r="D26" s="53">
        <f t="shared" si="0"/>
        <v>0.12544556742118129</v>
      </c>
      <c r="E26" s="53">
        <v>8.0445567421181294E-2</v>
      </c>
      <c r="F26" s="53">
        <v>0.2</v>
      </c>
      <c r="G26" s="3" t="s">
        <v>57</v>
      </c>
      <c r="K26" s="58"/>
    </row>
    <row r="27" spans="1:11">
      <c r="A27" s="3" t="s">
        <v>71</v>
      </c>
      <c r="B27" s="3">
        <v>34.798596482427428</v>
      </c>
      <c r="C27" s="53">
        <v>6.7301834862385335E-2</v>
      </c>
      <c r="D27" s="53">
        <f t="shared" si="0"/>
        <v>0.15466724789468733</v>
      </c>
      <c r="E27" s="53">
        <v>0.10966724789468733</v>
      </c>
      <c r="F27" s="53">
        <v>0.33</v>
      </c>
      <c r="G27" s="3" t="s">
        <v>44</v>
      </c>
      <c r="K27" s="58"/>
    </row>
    <row r="28" spans="1:11">
      <c r="A28" s="3" t="s">
        <v>72</v>
      </c>
      <c r="B28" s="3">
        <v>1653.042795255044</v>
      </c>
      <c r="C28" s="53">
        <v>0</v>
      </c>
      <c r="D28" s="53">
        <f t="shared" si="0"/>
        <v>4.4999999999999998E-2</v>
      </c>
      <c r="E28" s="53">
        <v>0</v>
      </c>
      <c r="F28" s="53">
        <v>0.25</v>
      </c>
      <c r="G28" s="3" t="s">
        <v>73</v>
      </c>
      <c r="K28" s="58"/>
    </row>
    <row r="29" spans="1:11">
      <c r="A29" s="3" t="s">
        <v>74</v>
      </c>
      <c r="B29" s="3">
        <v>3.2</v>
      </c>
      <c r="C29" s="53">
        <v>7.9525458715596339E-2</v>
      </c>
      <c r="D29" s="53">
        <f t="shared" si="0"/>
        <v>0.14005640765793431</v>
      </c>
      <c r="E29" s="53">
        <v>9.5056407657934314E-2</v>
      </c>
      <c r="F29" s="53"/>
      <c r="G29" s="3" t="s">
        <v>44</v>
      </c>
      <c r="K29" s="58"/>
    </row>
    <row r="30" spans="1:11">
      <c r="A30" s="3" t="s">
        <v>75</v>
      </c>
      <c r="B30" s="3">
        <v>1.9</v>
      </c>
      <c r="C30" s="53">
        <v>7.3341743119266058E-3</v>
      </c>
      <c r="D30" s="53">
        <f t="shared" si="0"/>
        <v>5.3766504142051808E-2</v>
      </c>
      <c r="E30" s="53">
        <v>8.7665041420518092E-3</v>
      </c>
      <c r="F30" s="53">
        <v>0</v>
      </c>
      <c r="G30" s="3" t="s">
        <v>49</v>
      </c>
      <c r="K30" s="58"/>
    </row>
    <row r="31" spans="1:11">
      <c r="A31" s="3" t="s">
        <v>76</v>
      </c>
      <c r="B31" s="3">
        <v>277.07594440194083</v>
      </c>
      <c r="C31" s="53">
        <v>1.0354128440366973E-2</v>
      </c>
      <c r="D31" s="53">
        <f t="shared" si="0"/>
        <v>5.73762411417202E-2</v>
      </c>
      <c r="E31" s="53">
        <v>1.2376241141720201E-2</v>
      </c>
      <c r="F31" s="53">
        <v>0.27</v>
      </c>
      <c r="G31" s="3" t="s">
        <v>46</v>
      </c>
      <c r="K31" s="58"/>
    </row>
    <row r="32" spans="1:11">
      <c r="A32" s="3" t="s">
        <v>77</v>
      </c>
      <c r="B32" s="3">
        <v>12237.700479375037</v>
      </c>
      <c r="C32" s="53">
        <v>8.6284403669724778E-3</v>
      </c>
      <c r="D32" s="53">
        <f t="shared" si="0"/>
        <v>5.5313534284766833E-2</v>
      </c>
      <c r="E32" s="53">
        <v>1.0313534284766834E-2</v>
      </c>
      <c r="F32" s="53">
        <v>0.25</v>
      </c>
      <c r="G32" s="3" t="s">
        <v>57</v>
      </c>
      <c r="K32" s="58"/>
    </row>
    <row r="33" spans="1:11">
      <c r="A33" s="3" t="s">
        <v>78</v>
      </c>
      <c r="B33" s="3">
        <v>309.19138283336514</v>
      </c>
      <c r="C33" s="53">
        <v>2.3296788990825688E-2</v>
      </c>
      <c r="D33" s="53">
        <f t="shared" si="0"/>
        <v>7.2846542568870451E-2</v>
      </c>
      <c r="E33" s="53">
        <v>2.7846542568870453E-2</v>
      </c>
      <c r="F33" s="53">
        <v>0.35</v>
      </c>
      <c r="G33" s="3" t="s">
        <v>46</v>
      </c>
      <c r="K33" s="58"/>
    </row>
    <row r="34" spans="1:11">
      <c r="A34" s="3" t="s">
        <v>79</v>
      </c>
      <c r="B34" s="3">
        <v>37.24</v>
      </c>
      <c r="C34" s="53">
        <v>7.9525458715596339E-2</v>
      </c>
      <c r="D34" s="53">
        <f t="shared" si="0"/>
        <v>0.14005640765793431</v>
      </c>
      <c r="E34" s="53">
        <v>9.5056407657934314E-2</v>
      </c>
      <c r="F34" s="53">
        <v>0.28000000000000003</v>
      </c>
      <c r="G34" s="3" t="s">
        <v>44</v>
      </c>
      <c r="K34" s="58"/>
    </row>
    <row r="35" spans="1:11">
      <c r="A35" s="3" t="s">
        <v>80</v>
      </c>
      <c r="B35" s="3">
        <v>8.7200000000000006</v>
      </c>
      <c r="C35" s="53">
        <v>0.11015642201834862</v>
      </c>
      <c r="D35" s="53">
        <f t="shared" si="0"/>
        <v>0.17666945436885656</v>
      </c>
      <c r="E35" s="53">
        <v>0.13166945436885658</v>
      </c>
      <c r="F35" s="53">
        <v>0.3</v>
      </c>
      <c r="G35" s="3" t="s">
        <v>44</v>
      </c>
      <c r="K35" s="58"/>
    </row>
    <row r="36" spans="1:11">
      <c r="A36" s="3" t="s">
        <v>81</v>
      </c>
      <c r="B36" s="3">
        <v>1.2</v>
      </c>
      <c r="C36" s="53">
        <v>5.5078211009174309E-2</v>
      </c>
      <c r="D36" s="53">
        <f t="shared" si="0"/>
        <v>0.11083472718442829</v>
      </c>
      <c r="E36" s="53">
        <v>6.5834727184428288E-2</v>
      </c>
      <c r="F36" s="53"/>
      <c r="G36" s="3" t="s">
        <v>51</v>
      </c>
      <c r="K36" s="58"/>
    </row>
    <row r="37" spans="1:11">
      <c r="A37" s="3" t="s">
        <v>82</v>
      </c>
      <c r="B37" s="3">
        <v>57.057372468038302</v>
      </c>
      <c r="C37" s="53">
        <v>6.7301834862385335E-2</v>
      </c>
      <c r="D37" s="53">
        <f t="shared" si="0"/>
        <v>0.11083472718442829</v>
      </c>
      <c r="E37" s="53">
        <v>6.5834727184428288E-2</v>
      </c>
      <c r="F37" s="53">
        <v>0.3</v>
      </c>
      <c r="G37" s="3" t="s">
        <v>46</v>
      </c>
      <c r="K37" s="58"/>
    </row>
    <row r="38" spans="1:11">
      <c r="A38" s="3" t="s">
        <v>83</v>
      </c>
      <c r="B38" s="3">
        <v>40.388624117110865</v>
      </c>
      <c r="C38" s="53">
        <v>4.4005045871559637E-2</v>
      </c>
      <c r="D38" s="53">
        <f t="shared" si="0"/>
        <v>0.10707460019490968</v>
      </c>
      <c r="E38" s="53">
        <v>6.2074600194909679E-2</v>
      </c>
      <c r="F38" s="53"/>
      <c r="G38" s="3" t="s">
        <v>44</v>
      </c>
      <c r="K38" s="58"/>
    </row>
    <row r="39" spans="1:11">
      <c r="A39" s="3" t="s">
        <v>84</v>
      </c>
      <c r="B39" s="3">
        <v>54.849180228871646</v>
      </c>
      <c r="C39" s="53">
        <v>2.3296788990825688E-2</v>
      </c>
      <c r="D39" s="53">
        <f t="shared" si="0"/>
        <v>7.2846542568870451E-2</v>
      </c>
      <c r="E39" s="53">
        <v>2.7846542568870453E-2</v>
      </c>
      <c r="F39" s="53">
        <v>0.18</v>
      </c>
      <c r="G39" s="3" t="s">
        <v>40</v>
      </c>
      <c r="K39" s="58"/>
    </row>
    <row r="40" spans="1:11">
      <c r="A40" s="3" t="s">
        <v>85</v>
      </c>
      <c r="B40" s="3">
        <v>81.599999999999994</v>
      </c>
      <c r="C40" s="53">
        <v>0.14682729357798166</v>
      </c>
      <c r="D40" s="53">
        <f t="shared" si="0"/>
        <v>0.22050197507911562</v>
      </c>
      <c r="E40" s="53">
        <v>0.17550197507911564</v>
      </c>
      <c r="F40" s="53"/>
      <c r="G40" s="3" t="s">
        <v>49</v>
      </c>
      <c r="K40" s="58"/>
    </row>
    <row r="41" spans="1:11">
      <c r="A41" s="3" t="s">
        <v>86</v>
      </c>
      <c r="B41" s="3">
        <v>1</v>
      </c>
      <c r="C41" s="53">
        <v>2.3296788990825688E-2</v>
      </c>
      <c r="D41" s="53">
        <f t="shared" si="0"/>
        <v>7.2846542568870451E-2</v>
      </c>
      <c r="E41" s="53">
        <v>2.7846542568870453E-2</v>
      </c>
      <c r="F41" s="53">
        <v>0.22</v>
      </c>
      <c r="G41" s="3" t="s">
        <v>49</v>
      </c>
      <c r="K41" s="58"/>
    </row>
    <row r="42" spans="1:11">
      <c r="A42" s="3" t="s">
        <v>87</v>
      </c>
      <c r="B42" s="3">
        <v>21.651791751183232</v>
      </c>
      <c r="C42" s="53">
        <v>3.0630963302752296E-2</v>
      </c>
      <c r="D42" s="53">
        <f t="shared" si="0"/>
        <v>7.2846542568870451E-2</v>
      </c>
      <c r="E42" s="53">
        <v>2.7846542568870453E-2</v>
      </c>
      <c r="F42" s="53">
        <v>0.125</v>
      </c>
      <c r="G42" s="3" t="s">
        <v>42</v>
      </c>
      <c r="K42" s="58"/>
    </row>
    <row r="43" spans="1:11">
      <c r="A43" s="3" t="s">
        <v>88</v>
      </c>
      <c r="B43" s="3">
        <v>215.72553437237121</v>
      </c>
      <c r="C43" s="53">
        <v>7.3341743119266058E-3</v>
      </c>
      <c r="D43" s="53">
        <f t="shared" si="0"/>
        <v>5.3766504142051808E-2</v>
      </c>
      <c r="E43" s="53">
        <v>8.7665041420518092E-3</v>
      </c>
      <c r="F43" s="53">
        <v>0.19</v>
      </c>
      <c r="G43" s="3" t="s">
        <v>40</v>
      </c>
      <c r="K43" s="58"/>
    </row>
    <row r="44" spans="1:11">
      <c r="A44" s="3" t="s">
        <v>90</v>
      </c>
      <c r="B44" s="3">
        <v>324.8719688074687</v>
      </c>
      <c r="C44" s="53">
        <v>0</v>
      </c>
      <c r="D44" s="53">
        <f t="shared" si="0"/>
        <v>4.4999999999999998E-2</v>
      </c>
      <c r="E44" s="53">
        <v>0</v>
      </c>
      <c r="F44" s="53">
        <v>0.22</v>
      </c>
      <c r="G44" s="3" t="s">
        <v>42</v>
      </c>
      <c r="K44" s="58"/>
    </row>
    <row r="45" spans="1:11">
      <c r="A45" s="3" t="s">
        <v>91</v>
      </c>
      <c r="B45" s="3">
        <v>75.931656814656961</v>
      </c>
      <c r="C45" s="53">
        <v>4.4005045871559637E-2</v>
      </c>
      <c r="D45" s="53">
        <f t="shared" si="0"/>
        <v>9.7599024852310853E-2</v>
      </c>
      <c r="E45" s="53">
        <v>5.2599024852310855E-2</v>
      </c>
      <c r="F45" s="53">
        <v>0.27</v>
      </c>
      <c r="G45" s="3" t="s">
        <v>49</v>
      </c>
      <c r="K45" s="58"/>
    </row>
    <row r="46" spans="1:11">
      <c r="A46" s="3" t="s">
        <v>92</v>
      </c>
      <c r="B46" s="3">
        <v>103.056619</v>
      </c>
      <c r="C46" s="53">
        <v>0.12238004587155965</v>
      </c>
      <c r="D46" s="53">
        <f t="shared" si="0"/>
        <v>0.19128029460560964</v>
      </c>
      <c r="E46" s="53">
        <v>0.14628029460560965</v>
      </c>
      <c r="F46" s="53">
        <v>0.25</v>
      </c>
      <c r="G46" s="3" t="s">
        <v>46</v>
      </c>
      <c r="K46" s="58"/>
    </row>
    <row r="47" spans="1:11">
      <c r="A47" s="3" t="s">
        <v>93</v>
      </c>
      <c r="B47" s="3">
        <v>235.37</v>
      </c>
      <c r="C47" s="53">
        <v>6.7301834862385335E-2</v>
      </c>
      <c r="D47" s="53">
        <f t="shared" si="0"/>
        <v>0.15466724789468733</v>
      </c>
      <c r="E47" s="53">
        <v>0.10966724789468733</v>
      </c>
      <c r="F47" s="53">
        <v>0.22500000000000001</v>
      </c>
      <c r="G47" s="3" t="s">
        <v>44</v>
      </c>
      <c r="K47" s="58"/>
    </row>
    <row r="48" spans="1:11">
      <c r="A48" s="3" t="s">
        <v>94</v>
      </c>
      <c r="B48" s="3">
        <v>24.805439600000003</v>
      </c>
      <c r="C48" s="53">
        <v>0.12238004587155965</v>
      </c>
      <c r="D48" s="53">
        <f t="shared" si="0"/>
        <v>0.19128029460560964</v>
      </c>
      <c r="E48" s="53">
        <v>0.14628029460560965</v>
      </c>
      <c r="F48" s="53">
        <v>0.3</v>
      </c>
      <c r="G48" s="3" t="s">
        <v>46</v>
      </c>
      <c r="K48" s="58"/>
    </row>
    <row r="49" spans="1:11">
      <c r="A49" s="3" t="s">
        <v>95</v>
      </c>
      <c r="B49" s="3">
        <v>25.92107961233366</v>
      </c>
      <c r="C49" s="53">
        <v>8.6284403669724778E-3</v>
      </c>
      <c r="D49" s="53">
        <f t="shared" si="0"/>
        <v>5.5313534284766833E-2</v>
      </c>
      <c r="E49" s="53">
        <v>1.0313534284766834E-2</v>
      </c>
      <c r="F49" s="53">
        <v>0.2</v>
      </c>
      <c r="G49" s="3" t="s">
        <v>40</v>
      </c>
      <c r="K49" s="58"/>
    </row>
    <row r="50" spans="1:11">
      <c r="A50" s="3" t="s">
        <v>96</v>
      </c>
      <c r="B50" s="3">
        <v>80.561496133917188</v>
      </c>
      <c r="C50" s="53">
        <v>0.11015642201834862</v>
      </c>
      <c r="D50" s="53">
        <f t="shared" si="0"/>
        <v>0.17666945436885656</v>
      </c>
      <c r="E50" s="53">
        <v>0.13166945436885658</v>
      </c>
      <c r="F50" s="53">
        <v>0.3</v>
      </c>
      <c r="G50" s="3" t="s">
        <v>44</v>
      </c>
      <c r="K50" s="58"/>
    </row>
    <row r="51" spans="1:11">
      <c r="A51" s="3" t="s">
        <v>97</v>
      </c>
      <c r="B51" s="3">
        <v>5.0612027674294833</v>
      </c>
      <c r="C51" s="53">
        <v>5.5078211009174309E-2</v>
      </c>
      <c r="D51" s="53">
        <f t="shared" si="0"/>
        <v>0.11083472718442829</v>
      </c>
      <c r="E51" s="53">
        <v>6.5834727184428288E-2</v>
      </c>
      <c r="F51" s="53">
        <v>0.2</v>
      </c>
      <c r="G51" s="3" t="s">
        <v>57</v>
      </c>
      <c r="K51" s="58"/>
    </row>
    <row r="52" spans="1:11">
      <c r="A52" s="3" t="s">
        <v>98</v>
      </c>
      <c r="B52" s="3">
        <v>251.88488797276599</v>
      </c>
      <c r="C52" s="53">
        <v>4.8894495412844033E-3</v>
      </c>
      <c r="D52" s="53">
        <f t="shared" si="0"/>
        <v>5.0844336094701202E-2</v>
      </c>
      <c r="E52" s="53">
        <v>5.8443360947012038E-3</v>
      </c>
      <c r="F52" s="53">
        <v>0.2</v>
      </c>
      <c r="G52" s="3" t="s">
        <v>42</v>
      </c>
      <c r="K52" s="58"/>
    </row>
    <row r="53" spans="1:11">
      <c r="A53" s="3" t="s">
        <v>99</v>
      </c>
      <c r="B53" s="3">
        <v>2582.5013072164156</v>
      </c>
      <c r="C53" s="53">
        <v>6.0399082568807346E-3</v>
      </c>
      <c r="D53" s="53">
        <f t="shared" si="0"/>
        <v>5.2219473999336782E-2</v>
      </c>
      <c r="E53" s="53">
        <v>7.219473999336784E-3</v>
      </c>
      <c r="F53" s="53">
        <v>0.25</v>
      </c>
      <c r="G53" s="3" t="s">
        <v>42</v>
      </c>
      <c r="K53" s="58"/>
    </row>
    <row r="54" spans="1:11">
      <c r="A54" s="3" t="s">
        <v>100</v>
      </c>
      <c r="B54" s="3">
        <v>14.622880885684218</v>
      </c>
      <c r="C54" s="53">
        <v>9.1749082568807344E-2</v>
      </c>
      <c r="D54" s="53">
        <f t="shared" si="0"/>
        <v>0.15466724789468733</v>
      </c>
      <c r="E54" s="53">
        <v>0.10966724789468733</v>
      </c>
      <c r="F54" s="53">
        <v>0.3</v>
      </c>
      <c r="G54" s="3" t="s">
        <v>44</v>
      </c>
      <c r="K54" s="58"/>
    </row>
    <row r="55" spans="1:11">
      <c r="A55" s="3" t="s">
        <v>101</v>
      </c>
      <c r="B55" s="3">
        <v>15.159281211396696</v>
      </c>
      <c r="C55" s="53">
        <v>3.6814678899082569E-2</v>
      </c>
      <c r="D55" s="53">
        <f t="shared" si="0"/>
        <v>8.9004412948338496E-2</v>
      </c>
      <c r="E55" s="53">
        <v>4.4004412948338498E-2</v>
      </c>
      <c r="F55" s="53">
        <v>0.15</v>
      </c>
      <c r="G55" s="3" t="s">
        <v>40</v>
      </c>
      <c r="K55" s="58"/>
    </row>
    <row r="56" spans="1:11">
      <c r="A56" s="3" t="s">
        <v>102</v>
      </c>
      <c r="B56" s="3">
        <v>3677.4391297766028</v>
      </c>
      <c r="C56" s="53">
        <v>0</v>
      </c>
      <c r="D56" s="53">
        <f t="shared" si="0"/>
        <v>4.4999999999999998E-2</v>
      </c>
      <c r="E56" s="53">
        <v>0</v>
      </c>
      <c r="F56" s="53">
        <v>0.3</v>
      </c>
      <c r="G56" s="3" t="s">
        <v>42</v>
      </c>
      <c r="K56" s="58"/>
    </row>
    <row r="57" spans="1:11">
      <c r="A57" s="3" t="s">
        <v>103</v>
      </c>
      <c r="B57" s="3">
        <v>47.330016342573444</v>
      </c>
      <c r="C57" s="53">
        <v>0.14682729357798166</v>
      </c>
      <c r="D57" s="53">
        <f t="shared" si="0"/>
        <v>0.19128029460560964</v>
      </c>
      <c r="E57" s="53">
        <v>0.14628029460560965</v>
      </c>
      <c r="F57" s="53">
        <v>0.25</v>
      </c>
      <c r="G57" s="3" t="s">
        <v>44</v>
      </c>
      <c r="K57" s="58"/>
    </row>
    <row r="58" spans="1:11">
      <c r="A58" s="3" t="s">
        <v>104</v>
      </c>
      <c r="B58" s="3">
        <v>200.28827712903825</v>
      </c>
      <c r="C58" s="53">
        <v>4.4005045871559637E-2</v>
      </c>
      <c r="D58" s="53">
        <f t="shared" si="0"/>
        <v>8.161304671092226E-2</v>
      </c>
      <c r="E58" s="53">
        <v>3.6613046710922262E-2</v>
      </c>
      <c r="F58" s="53">
        <v>0.22</v>
      </c>
      <c r="G58" s="3" t="s">
        <v>42</v>
      </c>
      <c r="K58" s="58"/>
    </row>
    <row r="59" spans="1:11">
      <c r="A59" s="3" t="s">
        <v>105</v>
      </c>
      <c r="B59" s="3">
        <v>75.620095537500504</v>
      </c>
      <c r="C59" s="53">
        <v>3.0630963302752296E-2</v>
      </c>
      <c r="D59" s="53">
        <f t="shared" si="0"/>
        <v>8.161304671092226E-2</v>
      </c>
      <c r="E59" s="53">
        <v>3.6613046710922262E-2</v>
      </c>
      <c r="F59" s="53">
        <v>0.25</v>
      </c>
      <c r="G59" s="3" t="s">
        <v>46</v>
      </c>
      <c r="K59" s="58"/>
    </row>
    <row r="60" spans="1:11">
      <c r="A60" s="3" t="s">
        <v>106</v>
      </c>
      <c r="B60" s="3">
        <v>0.5</v>
      </c>
      <c r="C60" s="53">
        <v>0</v>
      </c>
      <c r="D60" s="53">
        <f t="shared" si="0"/>
        <v>5.5313534284766833E-2</v>
      </c>
      <c r="E60" s="53">
        <v>1.0313534284766834E-2</v>
      </c>
      <c r="F60" s="53">
        <v>0</v>
      </c>
      <c r="G60" s="3" t="s">
        <v>42</v>
      </c>
      <c r="K60" s="58"/>
    </row>
    <row r="61" spans="1:11">
      <c r="A61" s="3" t="s">
        <v>107</v>
      </c>
      <c r="B61" s="3">
        <v>22.97853289678163</v>
      </c>
      <c r="C61" s="53">
        <v>5.5078211009174309E-2</v>
      </c>
      <c r="D61" s="53">
        <f t="shared" si="0"/>
        <v>0.11083472718442829</v>
      </c>
      <c r="E61" s="53">
        <v>6.5834727184428288E-2</v>
      </c>
      <c r="F61" s="53">
        <v>0.25</v>
      </c>
      <c r="G61" s="3" t="s">
        <v>46</v>
      </c>
      <c r="K61" s="58"/>
    </row>
    <row r="62" spans="1:11">
      <c r="A62" s="3" t="s">
        <v>108</v>
      </c>
      <c r="B62" s="3">
        <v>341.45</v>
      </c>
      <c r="C62" s="53">
        <v>7.3341743119266058E-3</v>
      </c>
      <c r="D62" s="53">
        <f t="shared" si="0"/>
        <v>5.3766504142051808E-2</v>
      </c>
      <c r="E62" s="53">
        <v>8.7665041420518092E-3</v>
      </c>
      <c r="F62" s="53">
        <v>0.16500000000000001</v>
      </c>
      <c r="G62" s="3" t="s">
        <v>57</v>
      </c>
      <c r="K62" s="58"/>
    </row>
    <row r="63" spans="1:11">
      <c r="A63" s="3" t="s">
        <v>109</v>
      </c>
      <c r="B63" s="3">
        <v>139.13502975828999</v>
      </c>
      <c r="C63" s="53">
        <v>2.3296788990825688E-2</v>
      </c>
      <c r="D63" s="53">
        <f t="shared" si="0"/>
        <v>7.2846542568870451E-2</v>
      </c>
      <c r="E63" s="53">
        <v>2.7846542568870453E-2</v>
      </c>
      <c r="F63" s="53">
        <v>0.09</v>
      </c>
      <c r="G63" s="3" t="s">
        <v>40</v>
      </c>
      <c r="K63" s="58"/>
    </row>
    <row r="64" spans="1:11">
      <c r="A64" s="3" t="s">
        <v>110</v>
      </c>
      <c r="B64" s="3">
        <v>23.909289978586099</v>
      </c>
      <c r="C64" s="53">
        <v>1.0354128440366973E-2</v>
      </c>
      <c r="D64" s="53">
        <f t="shared" si="0"/>
        <v>5.73762411417202E-2</v>
      </c>
      <c r="E64" s="53">
        <v>1.2376241141720201E-2</v>
      </c>
      <c r="F64" s="53">
        <v>0.2</v>
      </c>
      <c r="G64" s="3" t="s">
        <v>42</v>
      </c>
      <c r="K64" s="58"/>
    </row>
    <row r="65" spans="1:11">
      <c r="A65" s="3" t="s">
        <v>111</v>
      </c>
      <c r="B65" s="3">
        <v>2597.4911628976711</v>
      </c>
      <c r="C65" s="53">
        <v>2.6891972477064225E-2</v>
      </c>
      <c r="D65" s="53">
        <f t="shared" si="0"/>
        <v>7.7143848520856623E-2</v>
      </c>
      <c r="E65" s="53">
        <v>3.2143848520856624E-2</v>
      </c>
      <c r="F65" s="53">
        <v>0.3</v>
      </c>
      <c r="G65" s="3" t="s">
        <v>57</v>
      </c>
      <c r="K65" s="58"/>
    </row>
    <row r="66" spans="1:11">
      <c r="A66" s="3" t="s">
        <v>112</v>
      </c>
      <c r="B66" s="3">
        <v>1015.5390175365033</v>
      </c>
      <c r="C66" s="53">
        <v>2.3296788990825688E-2</v>
      </c>
      <c r="D66" s="53">
        <f t="shared" si="0"/>
        <v>7.2846542568870451E-2</v>
      </c>
      <c r="E66" s="53">
        <v>2.7846542568870453E-2</v>
      </c>
      <c r="F66" s="53">
        <v>0.22</v>
      </c>
      <c r="G66" s="3" t="s">
        <v>57</v>
      </c>
      <c r="K66" s="58"/>
    </row>
    <row r="67" spans="1:11">
      <c r="A67" s="3" t="s">
        <v>113</v>
      </c>
      <c r="B67" s="3">
        <v>197.71573604060913</v>
      </c>
      <c r="C67" s="53">
        <v>9.1749082568807344E-2</v>
      </c>
      <c r="D67" s="53">
        <f t="shared" si="0"/>
        <v>0.15466724789468733</v>
      </c>
      <c r="E67" s="53">
        <v>0.10966724789468733</v>
      </c>
      <c r="F67" s="53">
        <v>0.15</v>
      </c>
      <c r="G67" s="3" t="s">
        <v>38</v>
      </c>
      <c r="K67" s="58"/>
    </row>
    <row r="68" spans="1:11">
      <c r="A68" s="3" t="s">
        <v>114</v>
      </c>
      <c r="B68" s="3">
        <v>333.73076477318006</v>
      </c>
      <c r="C68" s="53">
        <v>8.6284403669724778E-3</v>
      </c>
      <c r="D68" s="53">
        <f t="shared" ref="D68:D131" si="1">$D$148+E68</f>
        <v>5.3766504142051808E-2</v>
      </c>
      <c r="E68" s="53">
        <v>8.7665041420518092E-3</v>
      </c>
      <c r="F68" s="53">
        <v>0.125</v>
      </c>
      <c r="G68" s="3" t="s">
        <v>42</v>
      </c>
      <c r="K68" s="58"/>
    </row>
    <row r="69" spans="1:11">
      <c r="A69" s="3" t="s">
        <v>115</v>
      </c>
      <c r="B69" s="3">
        <v>7.4</v>
      </c>
      <c r="C69" s="53">
        <v>7.3341743119266058E-3</v>
      </c>
      <c r="D69" s="53">
        <f t="shared" si="1"/>
        <v>5.3766504142051808E-2</v>
      </c>
      <c r="E69" s="53">
        <v>8.7665041420518092E-3</v>
      </c>
      <c r="F69" s="53">
        <v>0</v>
      </c>
      <c r="G69" s="3" t="s">
        <v>42</v>
      </c>
      <c r="K69" s="58"/>
    </row>
    <row r="70" spans="1:11">
      <c r="A70" s="3" t="s">
        <v>116</v>
      </c>
      <c r="B70" s="3">
        <v>350.85053782728062</v>
      </c>
      <c r="C70" s="53">
        <v>8.6284403669724778E-3</v>
      </c>
      <c r="D70" s="53">
        <f t="shared" si="1"/>
        <v>5.5313534284766833E-2</v>
      </c>
      <c r="E70" s="53">
        <v>1.0313534284766834E-2</v>
      </c>
      <c r="F70" s="53">
        <v>0.23</v>
      </c>
      <c r="G70" s="3" t="s">
        <v>38</v>
      </c>
      <c r="K70" s="58"/>
    </row>
    <row r="71" spans="1:11">
      <c r="A71" s="3" t="s">
        <v>117</v>
      </c>
      <c r="B71" s="3">
        <v>1934.7979374113268</v>
      </c>
      <c r="C71" s="53">
        <v>2.6891972477064225E-2</v>
      </c>
      <c r="D71" s="53">
        <f t="shared" si="1"/>
        <v>7.7143848520856623E-2</v>
      </c>
      <c r="E71" s="53">
        <v>3.2143848520856624E-2</v>
      </c>
      <c r="F71" s="53">
        <v>0.24</v>
      </c>
      <c r="G71" s="3" t="s">
        <v>42</v>
      </c>
      <c r="K71" s="58"/>
    </row>
    <row r="72" spans="1:11">
      <c r="A72" s="3" t="s">
        <v>118</v>
      </c>
      <c r="B72" s="3">
        <v>14.768134912417116</v>
      </c>
      <c r="C72" s="53">
        <v>6.7301834862385335E-2</v>
      </c>
      <c r="D72" s="53">
        <f t="shared" si="1"/>
        <v>0.11083472718442829</v>
      </c>
      <c r="E72" s="53">
        <v>6.5834727184428288E-2</v>
      </c>
      <c r="F72" s="53">
        <v>0.25</v>
      </c>
      <c r="G72" s="3" t="s">
        <v>49</v>
      </c>
      <c r="K72" s="58"/>
    </row>
    <row r="73" spans="1:11">
      <c r="A73" s="3" t="s">
        <v>119</v>
      </c>
      <c r="B73" s="3">
        <v>4872.1369455075865</v>
      </c>
      <c r="C73" s="53">
        <v>8.6284403669724778E-3</v>
      </c>
      <c r="D73" s="53">
        <f t="shared" si="1"/>
        <v>5.5313534284766833E-2</v>
      </c>
      <c r="E73" s="53">
        <v>1.0313534284766834E-2</v>
      </c>
      <c r="F73" s="53">
        <v>0.23200000000000001</v>
      </c>
      <c r="G73" s="3" t="s">
        <v>57</v>
      </c>
      <c r="K73" s="58"/>
    </row>
    <row r="74" spans="1:11">
      <c r="A74" s="3" t="s">
        <v>120</v>
      </c>
      <c r="B74" s="3">
        <v>1</v>
      </c>
      <c r="C74" s="53">
        <v>0</v>
      </c>
      <c r="D74" s="53">
        <f t="shared" si="1"/>
        <v>5.3766504142051808E-2</v>
      </c>
      <c r="E74" s="53">
        <v>8.7665041420518092E-3</v>
      </c>
      <c r="F74" s="53">
        <v>0</v>
      </c>
      <c r="G74" s="3" t="s">
        <v>42</v>
      </c>
      <c r="K74" s="58"/>
    </row>
    <row r="75" spans="1:11">
      <c r="A75" s="3" t="s">
        <v>121</v>
      </c>
      <c r="B75" s="3">
        <v>40.068308516275501</v>
      </c>
      <c r="C75" s="53">
        <v>5.5078211009174309E-2</v>
      </c>
      <c r="D75" s="53">
        <f t="shared" si="1"/>
        <v>0.11083472718442829</v>
      </c>
      <c r="E75" s="53">
        <v>6.5834727184428288E-2</v>
      </c>
      <c r="F75" s="53">
        <v>0.2</v>
      </c>
      <c r="G75" s="3" t="s">
        <v>38</v>
      </c>
      <c r="K75" s="58"/>
    </row>
    <row r="76" spans="1:11">
      <c r="A76" s="3" t="s">
        <v>122</v>
      </c>
      <c r="B76" s="3">
        <v>159.4069263591216</v>
      </c>
      <c r="C76" s="53">
        <v>2.3296788990825688E-2</v>
      </c>
      <c r="D76" s="53">
        <f t="shared" si="1"/>
        <v>7.2846542568870451E-2</v>
      </c>
      <c r="E76" s="53">
        <v>2.7846542568870453E-2</v>
      </c>
      <c r="F76" s="53">
        <v>0.2</v>
      </c>
      <c r="G76" s="3" t="s">
        <v>40</v>
      </c>
      <c r="K76" s="58"/>
    </row>
    <row r="77" spans="1:11">
      <c r="A77" s="3" t="s">
        <v>123</v>
      </c>
      <c r="B77" s="3">
        <v>74.938190654855816</v>
      </c>
      <c r="C77" s="53">
        <v>6.7301834862385335E-2</v>
      </c>
      <c r="D77" s="53">
        <f t="shared" si="1"/>
        <v>0.14005640765793431</v>
      </c>
      <c r="E77" s="53">
        <v>9.5056407657934314E-2</v>
      </c>
      <c r="F77" s="53">
        <v>0.3</v>
      </c>
      <c r="G77" s="3" t="s">
        <v>44</v>
      </c>
      <c r="K77" s="58"/>
    </row>
    <row r="78" spans="1:11">
      <c r="A78" s="3" t="s">
        <v>124</v>
      </c>
      <c r="B78" s="3">
        <v>1530.75</v>
      </c>
      <c r="C78" s="53">
        <v>6.0399082568807346E-3</v>
      </c>
      <c r="D78" s="53">
        <f t="shared" si="1"/>
        <v>0.27992692770782934</v>
      </c>
      <c r="E78" s="53">
        <v>0.23492692770782936</v>
      </c>
      <c r="F78" s="53">
        <v>0.25</v>
      </c>
      <c r="G78" s="3" t="s">
        <v>57</v>
      </c>
      <c r="K78" s="58"/>
    </row>
    <row r="79" spans="1:11">
      <c r="A79" s="3" t="s">
        <v>125</v>
      </c>
      <c r="B79" s="3">
        <v>120.12627761292451</v>
      </c>
      <c r="C79" s="53">
        <v>8.6284403669724778E-3</v>
      </c>
      <c r="D79" s="53">
        <f t="shared" si="1"/>
        <v>5.5313534284766833E-2</v>
      </c>
      <c r="E79" s="53">
        <v>1.0313534284766834E-2</v>
      </c>
      <c r="F79" s="53">
        <v>0.15</v>
      </c>
      <c r="G79" s="3" t="s">
        <v>38</v>
      </c>
      <c r="K79" s="58"/>
    </row>
    <row r="80" spans="1:11">
      <c r="A80" s="3" t="s">
        <v>126</v>
      </c>
      <c r="B80" s="3">
        <v>7.5647388360412213</v>
      </c>
      <c r="C80" s="53">
        <v>7.9525458715596339E-2</v>
      </c>
      <c r="D80" s="53">
        <f t="shared" si="1"/>
        <v>0.14005640765793431</v>
      </c>
      <c r="E80" s="53">
        <v>9.5056407657934314E-2</v>
      </c>
      <c r="F80" s="53">
        <v>0.1</v>
      </c>
      <c r="G80" s="3" t="s">
        <v>40</v>
      </c>
      <c r="K80" s="58"/>
    </row>
    <row r="81" spans="1:11">
      <c r="A81" s="3" t="s">
        <v>127</v>
      </c>
      <c r="B81" s="3">
        <v>30.264454641800356</v>
      </c>
      <c r="C81" s="53">
        <v>1.4668348623853212E-2</v>
      </c>
      <c r="D81" s="53">
        <f t="shared" si="1"/>
        <v>6.2533008284103617E-2</v>
      </c>
      <c r="E81" s="53">
        <v>1.7533008284103618E-2</v>
      </c>
      <c r="F81" s="53">
        <v>0.2</v>
      </c>
      <c r="G81" s="3" t="s">
        <v>40</v>
      </c>
      <c r="K81" s="58"/>
    </row>
    <row r="82" spans="1:11">
      <c r="A82" s="3" t="s">
        <v>128</v>
      </c>
      <c r="B82" s="3">
        <v>51.844487742023212</v>
      </c>
      <c r="C82" s="53">
        <v>0.17499999999999999</v>
      </c>
      <c r="D82" s="53">
        <f t="shared" si="1"/>
        <v>0.27992692770782934</v>
      </c>
      <c r="E82" s="53">
        <v>0.23492692770782936</v>
      </c>
      <c r="F82" s="53">
        <v>0.17</v>
      </c>
      <c r="G82" s="3" t="s">
        <v>38</v>
      </c>
      <c r="K82" s="58"/>
    </row>
    <row r="83" spans="1:11">
      <c r="A83" s="3" t="s">
        <v>129</v>
      </c>
      <c r="B83" s="3">
        <v>6.7</v>
      </c>
      <c r="C83" s="53">
        <v>0</v>
      </c>
      <c r="D83" s="53">
        <f t="shared" si="1"/>
        <v>4.4999999999999998E-2</v>
      </c>
      <c r="E83" s="53">
        <v>0</v>
      </c>
      <c r="F83" s="53">
        <v>0.125</v>
      </c>
      <c r="G83" s="3" t="s">
        <v>42</v>
      </c>
      <c r="K83" s="58"/>
    </row>
    <row r="84" spans="1:11">
      <c r="A84" s="3" t="s">
        <v>130</v>
      </c>
      <c r="B84" s="3">
        <v>47.168303744132935</v>
      </c>
      <c r="C84" s="53">
        <v>1.0354128440366973E-2</v>
      </c>
      <c r="D84" s="53">
        <f t="shared" si="1"/>
        <v>5.73762411417202E-2</v>
      </c>
      <c r="E84" s="53">
        <v>1.2376241141720201E-2</v>
      </c>
      <c r="F84" s="53">
        <v>0.15</v>
      </c>
      <c r="G84" s="3" t="s">
        <v>40</v>
      </c>
      <c r="K84" s="58"/>
    </row>
    <row r="85" spans="1:11">
      <c r="A85" s="3" t="s">
        <v>131</v>
      </c>
      <c r="B85" s="3">
        <v>62.404461274663575</v>
      </c>
      <c r="C85" s="53">
        <v>0</v>
      </c>
      <c r="D85" s="53">
        <f t="shared" si="1"/>
        <v>4.4999999999999998E-2</v>
      </c>
      <c r="E85" s="53">
        <v>0</v>
      </c>
      <c r="F85" s="53">
        <v>0.24940000000000001</v>
      </c>
      <c r="G85" s="3" t="s">
        <v>42</v>
      </c>
      <c r="K85" s="58"/>
    </row>
    <row r="86" spans="1:11">
      <c r="A86" s="3" t="s">
        <v>132</v>
      </c>
      <c r="B86" s="3">
        <v>62.404461274663575</v>
      </c>
      <c r="C86" s="53">
        <v>7.3341743119266058E-3</v>
      </c>
      <c r="D86" s="53">
        <f t="shared" si="1"/>
        <v>5.3766504142051808E-2</v>
      </c>
      <c r="E86" s="53">
        <v>8.7665041420518092E-3</v>
      </c>
      <c r="F86" s="53">
        <v>0.12</v>
      </c>
      <c r="G86" s="3" t="s">
        <v>57</v>
      </c>
      <c r="K86" s="58"/>
    </row>
    <row r="87" spans="1:11">
      <c r="A87" s="3" t="s">
        <v>133</v>
      </c>
      <c r="B87" s="3">
        <v>50.361201096436588</v>
      </c>
      <c r="C87" s="53">
        <v>4.4005045871559637E-2</v>
      </c>
      <c r="D87" s="53">
        <f t="shared" si="1"/>
        <v>9.7599024852310853E-2</v>
      </c>
      <c r="E87" s="53">
        <v>5.2599024852310855E-2</v>
      </c>
      <c r="F87" s="53">
        <v>0.1</v>
      </c>
      <c r="G87" s="3" t="s">
        <v>40</v>
      </c>
      <c r="K87" s="58"/>
    </row>
    <row r="88" spans="1:11">
      <c r="A88" s="3" t="s">
        <v>134</v>
      </c>
      <c r="B88" s="3">
        <v>314.50027904380988</v>
      </c>
      <c r="C88" s="53">
        <v>1.4668348623853212E-2</v>
      </c>
      <c r="D88" s="53">
        <f t="shared" si="1"/>
        <v>6.2533008284103617E-2</v>
      </c>
      <c r="E88" s="53">
        <v>1.7533008284103618E-2</v>
      </c>
      <c r="F88" s="53">
        <v>0.24</v>
      </c>
      <c r="G88" s="3" t="s">
        <v>57</v>
      </c>
      <c r="K88" s="58"/>
    </row>
    <row r="89" spans="1:11">
      <c r="A89" s="3" t="s">
        <v>607</v>
      </c>
      <c r="B89" s="3">
        <v>4.5970833035069338</v>
      </c>
      <c r="C89" s="53">
        <v>9.1749082568807344E-2</v>
      </c>
      <c r="D89" s="53">
        <f t="shared" si="1"/>
        <v>0.15466724789468733</v>
      </c>
      <c r="E89" s="53">
        <v>0.10966724789468733</v>
      </c>
      <c r="F89" s="53"/>
      <c r="G89" s="3" t="s">
        <v>57</v>
      </c>
      <c r="K89" s="58"/>
    </row>
    <row r="90" spans="1:11">
      <c r="A90" s="3" t="s">
        <v>135</v>
      </c>
      <c r="B90" s="3">
        <v>12.5377507324769</v>
      </c>
      <c r="C90" s="53">
        <v>1.0354128440366973E-2</v>
      </c>
      <c r="D90" s="53">
        <f t="shared" si="1"/>
        <v>5.73762411417202E-2</v>
      </c>
      <c r="E90" s="53">
        <v>1.2376241141720201E-2</v>
      </c>
      <c r="F90" s="53">
        <v>0.35</v>
      </c>
      <c r="G90" s="3" t="s">
        <v>42</v>
      </c>
      <c r="K90" s="58"/>
    </row>
    <row r="91" spans="1:11">
      <c r="A91" s="3" t="s">
        <v>136</v>
      </c>
      <c r="B91" s="3">
        <v>13.338147523012408</v>
      </c>
      <c r="C91" s="53">
        <v>2.6891972477064225E-2</v>
      </c>
      <c r="D91" s="53">
        <f t="shared" si="1"/>
        <v>7.7143848520856623E-2</v>
      </c>
      <c r="E91" s="53">
        <v>3.2143848520856624E-2</v>
      </c>
      <c r="F91" s="53">
        <v>0.15</v>
      </c>
      <c r="G91" s="3" t="s">
        <v>57</v>
      </c>
      <c r="K91" s="58"/>
    </row>
    <row r="92" spans="1:11">
      <c r="A92" s="3" t="s">
        <v>137</v>
      </c>
      <c r="B92" s="3">
        <v>1149.9187947657313</v>
      </c>
      <c r="C92" s="53">
        <v>2.3296788990825688E-2</v>
      </c>
      <c r="D92" s="53">
        <f t="shared" si="1"/>
        <v>7.2846542568870451E-2</v>
      </c>
      <c r="E92" s="53">
        <v>2.7846542568870453E-2</v>
      </c>
      <c r="F92" s="53">
        <v>0.3</v>
      </c>
      <c r="G92" s="3" t="s">
        <v>46</v>
      </c>
      <c r="K92" s="58"/>
    </row>
    <row r="93" spans="1:11">
      <c r="A93" s="3" t="s">
        <v>138</v>
      </c>
      <c r="B93" s="3">
        <v>8.1284934320774092</v>
      </c>
      <c r="C93" s="53">
        <v>7.9525458715596339E-2</v>
      </c>
      <c r="D93" s="53">
        <f t="shared" si="1"/>
        <v>0.14005640765793431</v>
      </c>
      <c r="E93" s="53">
        <v>9.5056407657934314E-2</v>
      </c>
      <c r="F93" s="53">
        <v>0.12</v>
      </c>
      <c r="G93" s="3" t="s">
        <v>40</v>
      </c>
      <c r="K93" s="58"/>
    </row>
    <row r="94" spans="1:11">
      <c r="A94" s="3" t="s">
        <v>139</v>
      </c>
      <c r="B94" s="3">
        <v>11.48804688104307</v>
      </c>
      <c r="C94" s="53">
        <v>7.9525458715596339E-2</v>
      </c>
      <c r="D94" s="53">
        <f t="shared" si="1"/>
        <v>0.14005640765793431</v>
      </c>
      <c r="E94" s="53">
        <v>9.5056407657934314E-2</v>
      </c>
      <c r="F94" s="53">
        <v>0.25</v>
      </c>
      <c r="G94" s="3" t="s">
        <v>57</v>
      </c>
      <c r="K94" s="58"/>
    </row>
    <row r="95" spans="1:11">
      <c r="A95" s="3" t="s">
        <v>140</v>
      </c>
      <c r="B95" s="3">
        <v>4.7740860942077994</v>
      </c>
      <c r="C95" s="53">
        <v>5.5078211009174309E-2</v>
      </c>
      <c r="D95" s="53">
        <f t="shared" si="1"/>
        <v>0.11083472718442829</v>
      </c>
      <c r="E95" s="53">
        <v>6.5834727184428288E-2</v>
      </c>
      <c r="F95" s="53">
        <v>0.15</v>
      </c>
      <c r="G95" s="3" t="s">
        <v>40</v>
      </c>
      <c r="K95" s="58"/>
    </row>
    <row r="96" spans="1:11">
      <c r="A96" s="3" t="s">
        <v>141</v>
      </c>
      <c r="B96" s="3">
        <v>1.5</v>
      </c>
      <c r="C96" s="53">
        <v>2.6891972477064225E-2</v>
      </c>
      <c r="D96" s="53">
        <f t="shared" si="1"/>
        <v>7.7143848520856623E-2</v>
      </c>
      <c r="E96" s="53">
        <v>3.2143848520856624E-2</v>
      </c>
      <c r="F96" s="53"/>
      <c r="G96" s="3" t="s">
        <v>49</v>
      </c>
      <c r="K96" s="58"/>
    </row>
    <row r="97" spans="1:11">
      <c r="A97" s="3" t="s">
        <v>142</v>
      </c>
      <c r="B97" s="3">
        <v>109.13948400742879</v>
      </c>
      <c r="C97" s="53">
        <v>3.0630963302752296E-2</v>
      </c>
      <c r="D97" s="53">
        <f t="shared" si="1"/>
        <v>8.161304671092226E-2</v>
      </c>
      <c r="E97" s="53">
        <v>3.6613046710922262E-2</v>
      </c>
      <c r="F97" s="53">
        <v>0.31</v>
      </c>
      <c r="G97" s="3" t="s">
        <v>44</v>
      </c>
      <c r="K97" s="58"/>
    </row>
    <row r="98" spans="1:11">
      <c r="A98" s="3" t="s">
        <v>143</v>
      </c>
      <c r="B98" s="3">
        <v>12.333859926276988</v>
      </c>
      <c r="C98" s="53">
        <v>0.11015642201834862</v>
      </c>
      <c r="D98" s="53">
        <f t="shared" si="1"/>
        <v>0.17666945436885656</v>
      </c>
      <c r="E98" s="53">
        <v>0.13166945436885658</v>
      </c>
      <c r="F98" s="53">
        <v>0.32</v>
      </c>
      <c r="G98" s="3" t="s">
        <v>44</v>
      </c>
      <c r="K98" s="58"/>
    </row>
    <row r="99" spans="1:11">
      <c r="A99" s="3" t="s">
        <v>144</v>
      </c>
      <c r="B99" s="3">
        <v>13.244597345431874</v>
      </c>
      <c r="C99" s="53">
        <v>5.5078211009174309E-2</v>
      </c>
      <c r="D99" s="53">
        <f t="shared" si="1"/>
        <v>0.11083472718442829</v>
      </c>
      <c r="E99" s="53">
        <v>6.5834727184428288E-2</v>
      </c>
      <c r="F99" s="53">
        <v>0.32</v>
      </c>
      <c r="G99" s="3" t="s">
        <v>44</v>
      </c>
      <c r="K99" s="58"/>
    </row>
    <row r="100" spans="1:11">
      <c r="A100" s="3" t="s">
        <v>145</v>
      </c>
      <c r="B100" s="3">
        <v>826.20028250112694</v>
      </c>
      <c r="C100" s="53">
        <v>0</v>
      </c>
      <c r="D100" s="53">
        <f t="shared" si="1"/>
        <v>4.4999999999999998E-2</v>
      </c>
      <c r="E100" s="53">
        <v>0</v>
      </c>
      <c r="F100" s="53">
        <v>0.25800000000000001</v>
      </c>
      <c r="G100" s="3" t="s">
        <v>42</v>
      </c>
      <c r="K100" s="58"/>
    </row>
    <row r="101" spans="1:11">
      <c r="A101" s="3" t="s">
        <v>146</v>
      </c>
      <c r="B101" s="3">
        <v>205.85283825471217</v>
      </c>
      <c r="C101" s="53">
        <v>0</v>
      </c>
      <c r="D101" s="53">
        <f t="shared" si="1"/>
        <v>4.4999999999999998E-2</v>
      </c>
      <c r="E101" s="53">
        <v>0</v>
      </c>
      <c r="F101" s="53">
        <v>0.28000000000000003</v>
      </c>
      <c r="G101" s="3" t="s">
        <v>51</v>
      </c>
      <c r="K101" s="58"/>
    </row>
    <row r="102" spans="1:11">
      <c r="A102" s="3" t="s">
        <v>147</v>
      </c>
      <c r="B102" s="3">
        <v>13.814261535543384</v>
      </c>
      <c r="C102" s="53">
        <v>7.9525458715596339E-2</v>
      </c>
      <c r="D102" s="53">
        <f t="shared" si="1"/>
        <v>0.14005640765793431</v>
      </c>
      <c r="E102" s="53">
        <v>9.5056407657934314E-2</v>
      </c>
      <c r="F102" s="53">
        <v>0.3</v>
      </c>
      <c r="G102" s="3" t="s">
        <v>46</v>
      </c>
      <c r="K102" s="58"/>
    </row>
    <row r="103" spans="1:11">
      <c r="A103" s="3" t="s">
        <v>148</v>
      </c>
      <c r="B103" s="3">
        <v>375.77071374276341</v>
      </c>
      <c r="C103" s="53">
        <v>7.9525458715596339E-2</v>
      </c>
      <c r="D103" s="53">
        <f t="shared" si="1"/>
        <v>0.15466724789468733</v>
      </c>
      <c r="E103" s="53">
        <v>0.10966724789468733</v>
      </c>
      <c r="F103" s="53">
        <v>0.3</v>
      </c>
      <c r="G103" s="3" t="s">
        <v>44</v>
      </c>
      <c r="K103" s="58"/>
    </row>
    <row r="104" spans="1:11">
      <c r="A104" s="3" t="s">
        <v>149</v>
      </c>
      <c r="B104" s="3">
        <v>398.83195647793656</v>
      </c>
      <c r="C104" s="53">
        <v>0</v>
      </c>
      <c r="D104" s="53">
        <f t="shared" si="1"/>
        <v>4.4999999999999998E-2</v>
      </c>
      <c r="E104" s="53">
        <v>0</v>
      </c>
      <c r="F104" s="53">
        <v>0.22</v>
      </c>
      <c r="G104" s="3" t="s">
        <v>42</v>
      </c>
      <c r="K104" s="58"/>
    </row>
    <row r="105" spans="1:11">
      <c r="A105" s="3" t="s">
        <v>150</v>
      </c>
      <c r="B105" s="3">
        <v>72.642652795838742</v>
      </c>
      <c r="C105" s="53">
        <v>4.4005045871559637E-2</v>
      </c>
      <c r="D105" s="53">
        <f t="shared" si="1"/>
        <v>8.161304671092226E-2</v>
      </c>
      <c r="E105" s="53">
        <v>3.6613046710922262E-2</v>
      </c>
      <c r="F105" s="53">
        <v>0.15</v>
      </c>
      <c r="G105" s="3" t="s">
        <v>38</v>
      </c>
      <c r="K105" s="58"/>
    </row>
    <row r="106" spans="1:11">
      <c r="A106" s="3" t="s">
        <v>151</v>
      </c>
      <c r="B106" s="3">
        <v>304.95181849406555</v>
      </c>
      <c r="C106" s="53">
        <v>9.1749082568807344E-2</v>
      </c>
      <c r="D106" s="53">
        <f t="shared" si="1"/>
        <v>0.19128029460560964</v>
      </c>
      <c r="E106" s="53">
        <v>0.14628029460560965</v>
      </c>
      <c r="F106" s="53">
        <v>0.28999999999999998</v>
      </c>
      <c r="G106" s="3" t="s">
        <v>57</v>
      </c>
      <c r="K106" s="58"/>
    </row>
    <row r="107" spans="1:11">
      <c r="A107" s="3" t="s">
        <v>152</v>
      </c>
      <c r="B107" s="3">
        <v>61.838175799999995</v>
      </c>
      <c r="C107" s="53">
        <v>2.3296788990825688E-2</v>
      </c>
      <c r="D107" s="53">
        <f t="shared" si="1"/>
        <v>7.2846542568870451E-2</v>
      </c>
      <c r="E107" s="53">
        <v>2.7846542568870453E-2</v>
      </c>
      <c r="F107" s="53">
        <v>0.25</v>
      </c>
      <c r="G107" s="3" t="s">
        <v>46</v>
      </c>
      <c r="K107" s="58"/>
    </row>
    <row r="108" spans="1:11">
      <c r="A108" s="3" t="s">
        <v>153</v>
      </c>
      <c r="B108" s="3">
        <v>21.088758484748524</v>
      </c>
      <c r="C108" s="53">
        <v>6.7301834862385335E-2</v>
      </c>
      <c r="D108" s="53">
        <f t="shared" si="1"/>
        <v>0.12544556742118129</v>
      </c>
      <c r="E108" s="53">
        <v>8.0445567421181294E-2</v>
      </c>
      <c r="F108" s="53">
        <v>0.3</v>
      </c>
      <c r="G108" s="3" t="s">
        <v>57</v>
      </c>
      <c r="K108" s="58"/>
    </row>
    <row r="109" spans="1:11">
      <c r="A109" s="3" t="s">
        <v>154</v>
      </c>
      <c r="B109" s="3">
        <v>29.7348952489053</v>
      </c>
      <c r="C109" s="53">
        <v>3.0630963302752296E-2</v>
      </c>
      <c r="D109" s="53">
        <f t="shared" si="1"/>
        <v>8.161304671092226E-2</v>
      </c>
      <c r="E109" s="53">
        <v>3.6613046710922262E-2</v>
      </c>
      <c r="F109" s="53">
        <v>0.1</v>
      </c>
      <c r="G109" s="3" t="s">
        <v>46</v>
      </c>
      <c r="K109" s="58"/>
    </row>
    <row r="110" spans="1:11">
      <c r="A110" s="3" t="s">
        <v>155</v>
      </c>
      <c r="B110" s="3">
        <v>211.38927224215658</v>
      </c>
      <c r="C110" s="53">
        <v>1.9557798165137613E-2</v>
      </c>
      <c r="D110" s="53">
        <f t="shared" si="1"/>
        <v>6.8377344378804827E-2</v>
      </c>
      <c r="E110" s="53">
        <v>2.3377344378804829E-2</v>
      </c>
      <c r="F110" s="53">
        <v>0.29499999999999998</v>
      </c>
      <c r="G110" s="3" t="s">
        <v>46</v>
      </c>
      <c r="K110" s="58"/>
    </row>
    <row r="111" spans="1:11">
      <c r="A111" s="3" t="s">
        <v>156</v>
      </c>
      <c r="B111" s="3">
        <v>313.59520873726927</v>
      </c>
      <c r="C111" s="53">
        <v>2.3296788990825688E-2</v>
      </c>
      <c r="D111" s="53">
        <f t="shared" si="1"/>
        <v>7.2846542568870451E-2</v>
      </c>
      <c r="E111" s="53">
        <v>2.7846542568870453E-2</v>
      </c>
      <c r="F111" s="53">
        <v>0.25</v>
      </c>
      <c r="G111" s="3" t="s">
        <v>57</v>
      </c>
      <c r="K111" s="58"/>
    </row>
    <row r="112" spans="1:11">
      <c r="A112" s="3" t="s">
        <v>157</v>
      </c>
      <c r="B112" s="3">
        <v>524.5095652634086</v>
      </c>
      <c r="C112" s="53">
        <v>1.0354128440366973E-2</v>
      </c>
      <c r="D112" s="53">
        <f t="shared" si="1"/>
        <v>5.73762411417202E-2</v>
      </c>
      <c r="E112" s="53">
        <v>1.2376241141720201E-2</v>
      </c>
      <c r="F112" s="53">
        <v>0.19</v>
      </c>
      <c r="G112" s="3" t="s">
        <v>40</v>
      </c>
      <c r="K112" s="58"/>
    </row>
    <row r="113" spans="1:11">
      <c r="A113" s="3" t="s">
        <v>158</v>
      </c>
      <c r="B113" s="3">
        <v>217.57108304599035</v>
      </c>
      <c r="C113" s="53">
        <v>2.3296788990825688E-2</v>
      </c>
      <c r="D113" s="53">
        <f t="shared" si="1"/>
        <v>6.2533008284103617E-2</v>
      </c>
      <c r="E113" s="53">
        <v>1.7533008284103618E-2</v>
      </c>
      <c r="F113" s="53">
        <v>0.21</v>
      </c>
      <c r="G113" s="3" t="s">
        <v>42</v>
      </c>
      <c r="K113" s="58"/>
    </row>
    <row r="114" spans="1:11">
      <c r="A114" s="3" t="s">
        <v>159</v>
      </c>
      <c r="B114" s="3">
        <v>167.60521978021978</v>
      </c>
      <c r="C114" s="53">
        <v>7.3341743119266058E-3</v>
      </c>
      <c r="D114" s="53">
        <f t="shared" si="1"/>
        <v>5.3766504142051808E-2</v>
      </c>
      <c r="E114" s="53">
        <v>8.7665041420518092E-3</v>
      </c>
      <c r="F114" s="53">
        <v>0.1</v>
      </c>
      <c r="G114" s="3" t="s">
        <v>38</v>
      </c>
      <c r="K114" s="58"/>
    </row>
    <row r="115" spans="1:11">
      <c r="A115" s="3" t="s">
        <v>591</v>
      </c>
      <c r="B115" s="3">
        <v>5.2</v>
      </c>
      <c r="C115" s="53">
        <v>1.4668348623853212E-2</v>
      </c>
      <c r="D115" s="53">
        <f t="shared" si="1"/>
        <v>6.2533008284103617E-2</v>
      </c>
      <c r="E115" s="53">
        <v>1.7533008284103618E-2</v>
      </c>
      <c r="F115" s="53"/>
      <c r="G115" s="3" t="s">
        <v>38</v>
      </c>
      <c r="K115" s="58"/>
    </row>
    <row r="116" spans="1:11">
      <c r="A116" s="3" t="s">
        <v>162</v>
      </c>
      <c r="B116" s="3">
        <v>211.80328192473783</v>
      </c>
      <c r="C116" s="53">
        <v>2.6891972477064225E-2</v>
      </c>
      <c r="D116" s="53">
        <f t="shared" si="1"/>
        <v>7.7143848520856623E-2</v>
      </c>
      <c r="E116" s="53">
        <v>3.2143848520856624E-2</v>
      </c>
      <c r="F116" s="53">
        <v>0.16</v>
      </c>
      <c r="G116" s="3" t="s">
        <v>40</v>
      </c>
      <c r="K116" s="58"/>
    </row>
    <row r="117" spans="1:11">
      <c r="A117" s="3" t="s">
        <v>163</v>
      </c>
      <c r="B117" s="3">
        <v>1577.5241459631695</v>
      </c>
      <c r="C117" s="53">
        <v>9.1749082568807344E-2</v>
      </c>
      <c r="D117" s="53">
        <f t="shared" si="1"/>
        <v>0.11083472718442829</v>
      </c>
      <c r="E117" s="53">
        <v>6.5834727184428288E-2</v>
      </c>
      <c r="F117" s="53">
        <v>0.2</v>
      </c>
      <c r="G117" s="3" t="s">
        <v>40</v>
      </c>
      <c r="K117" s="58"/>
    </row>
    <row r="118" spans="1:11">
      <c r="A118" s="3" t="s">
        <v>164</v>
      </c>
      <c r="B118" s="3">
        <v>9.1366895140947939</v>
      </c>
      <c r="C118" s="53">
        <v>6.7301834862385335E-2</v>
      </c>
      <c r="D118" s="53">
        <f t="shared" si="1"/>
        <v>0.12544556742118129</v>
      </c>
      <c r="E118" s="53">
        <v>8.0445567421181294E-2</v>
      </c>
      <c r="F118" s="53">
        <v>0.3</v>
      </c>
      <c r="G118" s="3" t="s">
        <v>44</v>
      </c>
      <c r="K118" s="58"/>
    </row>
    <row r="119" spans="1:11">
      <c r="A119" s="3" t="s">
        <v>165</v>
      </c>
      <c r="B119" s="3">
        <v>683.82714428853603</v>
      </c>
      <c r="C119" s="53">
        <v>8.6284403669724778E-3</v>
      </c>
      <c r="D119" s="53">
        <f t="shared" si="1"/>
        <v>5.5313534284766833E-2</v>
      </c>
      <c r="E119" s="53">
        <v>1.0313534284766834E-2</v>
      </c>
      <c r="F119" s="53">
        <v>0.2</v>
      </c>
      <c r="G119" s="3" t="s">
        <v>38</v>
      </c>
      <c r="K119" s="58"/>
    </row>
    <row r="120" spans="1:11">
      <c r="A120" s="3" t="s">
        <v>166</v>
      </c>
      <c r="B120" s="3">
        <v>16.374743753473073</v>
      </c>
      <c r="C120" s="53">
        <v>4.4005045871559637E-2</v>
      </c>
      <c r="D120" s="53">
        <f t="shared" si="1"/>
        <v>9.7599024852310853E-2</v>
      </c>
      <c r="E120" s="53">
        <v>5.2599024852310855E-2</v>
      </c>
      <c r="F120" s="53">
        <v>0.3</v>
      </c>
      <c r="G120" s="3" t="s">
        <v>44</v>
      </c>
      <c r="K120" s="58"/>
    </row>
    <row r="121" spans="1:11">
      <c r="A121" s="3" t="s">
        <v>167</v>
      </c>
      <c r="B121" s="3">
        <v>41.431648801166318</v>
      </c>
      <c r="C121" s="53">
        <v>3.6814678899082569E-2</v>
      </c>
      <c r="D121" s="53">
        <f t="shared" si="1"/>
        <v>8.9004412948338496E-2</v>
      </c>
      <c r="E121" s="53">
        <v>4.4004412948338498E-2</v>
      </c>
      <c r="F121" s="53">
        <v>0.15</v>
      </c>
      <c r="G121" s="3" t="s">
        <v>40</v>
      </c>
      <c r="K121" s="58"/>
    </row>
    <row r="122" spans="1:11">
      <c r="A122" s="3" t="s">
        <v>168</v>
      </c>
      <c r="B122" s="3">
        <v>5</v>
      </c>
      <c r="C122" s="53">
        <v>3.0630963302752296E-2</v>
      </c>
      <c r="D122" s="53">
        <f t="shared" si="1"/>
        <v>8.161304671092226E-2</v>
      </c>
      <c r="E122" s="53">
        <v>3.6613046710922262E-2</v>
      </c>
      <c r="F122" s="53"/>
      <c r="G122" s="3" t="s">
        <v>38</v>
      </c>
      <c r="K122" s="58"/>
    </row>
    <row r="123" spans="1:11">
      <c r="A123" s="3" t="s">
        <v>169</v>
      </c>
      <c r="B123" s="3">
        <v>323.90723441233979</v>
      </c>
      <c r="C123" s="53">
        <v>0</v>
      </c>
      <c r="D123" s="53">
        <f t="shared" si="1"/>
        <v>4.4999999999999998E-2</v>
      </c>
      <c r="E123" s="53">
        <v>0</v>
      </c>
      <c r="F123" s="53">
        <v>0.17</v>
      </c>
      <c r="G123" s="3" t="s">
        <v>57</v>
      </c>
      <c r="K123" s="58"/>
    </row>
    <row r="124" spans="1:11">
      <c r="A124" s="3" t="s">
        <v>170</v>
      </c>
      <c r="B124" s="3">
        <v>95.769031980136219</v>
      </c>
      <c r="C124" s="53">
        <v>1.0354128440366973E-2</v>
      </c>
      <c r="D124" s="53">
        <f t="shared" si="1"/>
        <v>5.73762411417202E-2</v>
      </c>
      <c r="E124" s="53">
        <v>1.2376241141720201E-2</v>
      </c>
      <c r="F124" s="53">
        <v>0.21</v>
      </c>
      <c r="G124" s="3" t="s">
        <v>40</v>
      </c>
      <c r="K124" s="58"/>
    </row>
    <row r="125" spans="1:11">
      <c r="A125" s="3" t="s">
        <v>171</v>
      </c>
      <c r="B125" s="3">
        <v>48.769655479238807</v>
      </c>
      <c r="C125" s="53">
        <v>1.4668348623853212E-2</v>
      </c>
      <c r="D125" s="53">
        <f t="shared" si="1"/>
        <v>6.2533008284103617E-2</v>
      </c>
      <c r="E125" s="53">
        <v>1.7533008284103618E-2</v>
      </c>
      <c r="F125" s="53">
        <v>0.19</v>
      </c>
      <c r="G125" s="3" t="s">
        <v>40</v>
      </c>
      <c r="K125" s="58"/>
    </row>
    <row r="126" spans="1:11">
      <c r="A126" s="3" t="s">
        <v>608</v>
      </c>
      <c r="B126" s="3">
        <v>1.3034536161197352</v>
      </c>
      <c r="C126" s="53">
        <v>9.1749082568807344E-2</v>
      </c>
      <c r="D126" s="53">
        <f t="shared" si="1"/>
        <v>0.15466724789468733</v>
      </c>
      <c r="E126" s="53">
        <v>0.10966724789468733</v>
      </c>
      <c r="F126" s="53">
        <v>0.3</v>
      </c>
      <c r="G126" s="3" t="s">
        <v>57</v>
      </c>
      <c r="K126" s="58"/>
    </row>
    <row r="127" spans="1:11">
      <c r="A127" s="3" t="s">
        <v>172</v>
      </c>
      <c r="B127" s="3">
        <v>349.41934361408858</v>
      </c>
      <c r="C127" s="53">
        <v>3.6814678899082569E-2</v>
      </c>
      <c r="D127" s="53">
        <f t="shared" si="1"/>
        <v>8.9004412948338496E-2</v>
      </c>
      <c r="E127" s="53">
        <v>4.4004412948338498E-2</v>
      </c>
      <c r="F127" s="53">
        <v>0.27</v>
      </c>
      <c r="G127" s="3" t="s">
        <v>44</v>
      </c>
      <c r="K127" s="58"/>
    </row>
    <row r="128" spans="1:11">
      <c r="A128" s="3" t="s">
        <v>173</v>
      </c>
      <c r="B128" s="3">
        <v>1311.3200155159884</v>
      </c>
      <c r="C128" s="53">
        <v>1.9557798165137613E-2</v>
      </c>
      <c r="D128" s="53">
        <f t="shared" si="1"/>
        <v>6.8377344378804827E-2</v>
      </c>
      <c r="E128" s="53">
        <v>2.3377344378804829E-2</v>
      </c>
      <c r="F128" s="53">
        <v>0.25</v>
      </c>
      <c r="G128" s="3" t="s">
        <v>42</v>
      </c>
      <c r="K128" s="58"/>
    </row>
    <row r="129" spans="1:11">
      <c r="A129" s="3" t="s">
        <v>174</v>
      </c>
      <c r="B129" s="3">
        <v>87.1746822004324</v>
      </c>
      <c r="C129" s="53">
        <v>0.14682729357798166</v>
      </c>
      <c r="D129" s="53">
        <f t="shared" si="1"/>
        <v>0.22050197507911562</v>
      </c>
      <c r="E129" s="53">
        <v>0.17550197507911564</v>
      </c>
      <c r="F129" s="53">
        <v>0.24</v>
      </c>
      <c r="G129" s="3" t="s">
        <v>57</v>
      </c>
      <c r="K129" s="58"/>
    </row>
    <row r="130" spans="1:11">
      <c r="A130" s="3" t="s">
        <v>175</v>
      </c>
      <c r="B130" s="3">
        <v>1.5</v>
      </c>
      <c r="C130" s="53">
        <v>3.6814678899082569E-2</v>
      </c>
      <c r="D130" s="53">
        <f t="shared" si="1"/>
        <v>8.9004412948338496E-2</v>
      </c>
      <c r="E130" s="53">
        <v>4.4004412948338498E-2</v>
      </c>
      <c r="F130" s="53">
        <v>0.35</v>
      </c>
      <c r="G130" s="3" t="s">
        <v>49</v>
      </c>
      <c r="K130" s="58"/>
    </row>
    <row r="131" spans="1:11">
      <c r="A131" s="3" t="s">
        <v>176</v>
      </c>
      <c r="B131" s="3">
        <v>0.77</v>
      </c>
      <c r="C131" s="53">
        <v>7.9525458715596339E-2</v>
      </c>
      <c r="D131" s="53">
        <f t="shared" si="1"/>
        <v>0.14005640765793431</v>
      </c>
      <c r="E131" s="53">
        <v>9.5056407657934314E-2</v>
      </c>
      <c r="F131" s="53"/>
      <c r="G131" s="3" t="s">
        <v>49</v>
      </c>
      <c r="K131" s="58"/>
    </row>
    <row r="132" spans="1:11">
      <c r="A132" s="3" t="s">
        <v>177</v>
      </c>
      <c r="B132" s="3">
        <v>3.3243853252667708</v>
      </c>
      <c r="C132" s="53">
        <v>0.12238004587155965</v>
      </c>
      <c r="D132" s="53">
        <f t="shared" ref="D132:D147" si="2">$D$148+E132</f>
        <v>0.19128029460560964</v>
      </c>
      <c r="E132" s="53">
        <v>0.14628029460560965</v>
      </c>
      <c r="F132" s="53">
        <v>0.36</v>
      </c>
      <c r="G132" s="3" t="s">
        <v>46</v>
      </c>
      <c r="K132" s="58"/>
    </row>
    <row r="133" spans="1:11">
      <c r="A133" s="3" t="s">
        <v>178</v>
      </c>
      <c r="B133" s="3">
        <v>3.72</v>
      </c>
      <c r="C133" s="53">
        <v>7.9525458715596339E-2</v>
      </c>
      <c r="D133" s="53">
        <f t="shared" si="2"/>
        <v>0.14005640765793431</v>
      </c>
      <c r="E133" s="53">
        <v>9.5056407657934314E-2</v>
      </c>
      <c r="F133" s="53">
        <v>0.27500000000000002</v>
      </c>
      <c r="G133" s="3" t="s">
        <v>44</v>
      </c>
      <c r="K133" s="58"/>
    </row>
    <row r="134" spans="1:11">
      <c r="A134" s="3" t="s">
        <v>179</v>
      </c>
      <c r="B134" s="3">
        <v>538.04045821699651</v>
      </c>
      <c r="C134" s="53">
        <v>0</v>
      </c>
      <c r="D134" s="53">
        <f t="shared" si="2"/>
        <v>4.4999999999999998E-2</v>
      </c>
      <c r="E134" s="53">
        <v>0</v>
      </c>
      <c r="F134" s="53">
        <v>0.20599999999999999</v>
      </c>
      <c r="G134" s="3" t="s">
        <v>42</v>
      </c>
      <c r="K134" s="58"/>
    </row>
    <row r="135" spans="1:11">
      <c r="A135" s="3" t="s">
        <v>180</v>
      </c>
      <c r="B135" s="3">
        <v>678.88733684825183</v>
      </c>
      <c r="C135" s="53">
        <v>0</v>
      </c>
      <c r="D135" s="53">
        <f t="shared" si="2"/>
        <v>4.4999999999999998E-2</v>
      </c>
      <c r="E135" s="53">
        <v>0</v>
      </c>
      <c r="F135" s="53">
        <v>0.18</v>
      </c>
      <c r="G135" s="3" t="s">
        <v>42</v>
      </c>
      <c r="K135" s="58"/>
    </row>
    <row r="136" spans="1:11">
      <c r="A136" s="3" t="s">
        <v>181</v>
      </c>
      <c r="B136" s="3">
        <v>970.9</v>
      </c>
      <c r="C136" s="53">
        <v>7.3341743119266058E-3</v>
      </c>
      <c r="D136" s="53">
        <f t="shared" si="2"/>
        <v>5.3766504142051808E-2</v>
      </c>
      <c r="E136" s="53">
        <v>8.7665041420518092E-3</v>
      </c>
      <c r="F136" s="53">
        <v>0.2</v>
      </c>
      <c r="G136" s="3" t="s">
        <v>57</v>
      </c>
      <c r="K136" s="58"/>
    </row>
    <row r="137" spans="1:11">
      <c r="A137" s="3" t="s">
        <v>182</v>
      </c>
      <c r="B137" s="3">
        <v>7.1457010187491958</v>
      </c>
      <c r="C137" s="53">
        <v>7.9525458715596339E-2</v>
      </c>
      <c r="D137" s="53">
        <f t="shared" si="2"/>
        <v>0.14005640765793431</v>
      </c>
      <c r="E137" s="53">
        <v>9.5056407657934314E-2</v>
      </c>
      <c r="F137" s="53"/>
      <c r="G137" s="3" t="s">
        <v>40</v>
      </c>
      <c r="K137" s="58"/>
    </row>
    <row r="138" spans="1:11">
      <c r="A138" s="3" t="s">
        <v>609</v>
      </c>
      <c r="B138" s="3">
        <v>52.090320325473591</v>
      </c>
      <c r="C138" s="53">
        <v>6.7301834862385335E-2</v>
      </c>
      <c r="D138" s="53">
        <f t="shared" si="2"/>
        <v>0.12544556742118129</v>
      </c>
      <c r="E138" s="53">
        <v>8.0445567421181294E-2</v>
      </c>
      <c r="F138" s="53"/>
      <c r="G138" s="3" t="s">
        <v>44</v>
      </c>
      <c r="K138" s="58"/>
    </row>
    <row r="139" spans="1:11">
      <c r="A139" s="3" t="s">
        <v>183</v>
      </c>
      <c r="B139" s="3">
        <v>455.22092057112889</v>
      </c>
      <c r="C139" s="53">
        <v>1.9557798165137613E-2</v>
      </c>
      <c r="D139" s="53">
        <f t="shared" si="2"/>
        <v>6.8377344378804827E-2</v>
      </c>
      <c r="E139" s="53">
        <v>2.3377344378804829E-2</v>
      </c>
      <c r="F139" s="53">
        <v>0.2</v>
      </c>
      <c r="G139" s="3" t="s">
        <v>57</v>
      </c>
      <c r="K139" s="58"/>
    </row>
    <row r="140" spans="1:11">
      <c r="A140" s="3" t="s">
        <v>184</v>
      </c>
      <c r="B140" s="3">
        <v>22.104775828460038</v>
      </c>
      <c r="C140" s="53">
        <v>3.6814678899082569E-2</v>
      </c>
      <c r="D140" s="53">
        <f t="shared" si="2"/>
        <v>8.9004412948338496E-2</v>
      </c>
      <c r="E140" s="53">
        <v>4.4004412948338498E-2</v>
      </c>
      <c r="F140" s="53">
        <v>0.3</v>
      </c>
      <c r="G140" s="3" t="s">
        <v>49</v>
      </c>
      <c r="K140" s="58"/>
    </row>
    <row r="141" spans="1:11">
      <c r="A141" s="3" t="s">
        <v>185</v>
      </c>
      <c r="B141" s="3">
        <v>40.25667520872944</v>
      </c>
      <c r="C141" s="53">
        <v>9.1749082568807344E-2</v>
      </c>
      <c r="D141" s="53">
        <f t="shared" si="2"/>
        <v>0.17666945436885656</v>
      </c>
      <c r="E141" s="53">
        <v>0.13166945436885658</v>
      </c>
      <c r="F141" s="53">
        <v>0.15</v>
      </c>
      <c r="G141" s="3" t="s">
        <v>44</v>
      </c>
      <c r="K141" s="58"/>
    </row>
    <row r="142" spans="1:11">
      <c r="A142" s="3" t="s">
        <v>186</v>
      </c>
      <c r="B142" s="3">
        <v>851.10241111811627</v>
      </c>
      <c r="C142" s="53">
        <v>7.9525458715596339E-2</v>
      </c>
      <c r="D142" s="53">
        <f t="shared" si="2"/>
        <v>0.14005640765793431</v>
      </c>
      <c r="E142" s="53">
        <v>9.5056407657934314E-2</v>
      </c>
      <c r="F142" s="53">
        <v>0.23</v>
      </c>
      <c r="G142" s="3" t="s">
        <v>42</v>
      </c>
      <c r="K142" s="58"/>
    </row>
    <row r="143" spans="1:11">
      <c r="A143" s="3" t="s">
        <v>592</v>
      </c>
      <c r="B143" s="3">
        <v>1.5</v>
      </c>
      <c r="C143" s="53">
        <v>1.9557798165137613E-2</v>
      </c>
      <c r="D143" s="53">
        <f t="shared" si="2"/>
        <v>6.8377344378804827E-2</v>
      </c>
      <c r="E143" s="53">
        <v>2.3377344378804829E-2</v>
      </c>
      <c r="F143" s="53">
        <v>0</v>
      </c>
      <c r="G143" s="3" t="s">
        <v>49</v>
      </c>
      <c r="K143" s="58"/>
    </row>
    <row r="144" spans="1:11">
      <c r="A144" s="3" t="s">
        <v>189</v>
      </c>
      <c r="B144" s="3">
        <v>25.891058946193581</v>
      </c>
      <c r="C144" s="53">
        <v>6.7301834862385335E-2</v>
      </c>
      <c r="D144" s="53">
        <f t="shared" si="2"/>
        <v>0.12544556742118129</v>
      </c>
      <c r="E144" s="53">
        <v>8.0445567421181294E-2</v>
      </c>
      <c r="F144" s="53">
        <v>0.3</v>
      </c>
      <c r="G144" s="3" t="s">
        <v>44</v>
      </c>
      <c r="K144" s="58"/>
    </row>
    <row r="145" spans="1:11">
      <c r="A145" s="3" t="s">
        <v>190</v>
      </c>
      <c r="B145" s="3">
        <v>112.1541851214065</v>
      </c>
      <c r="C145" s="53">
        <v>0.12238004587155965</v>
      </c>
      <c r="D145" s="53">
        <f t="shared" si="2"/>
        <v>0.22050197507911562</v>
      </c>
      <c r="E145" s="53">
        <v>0.17550197507911564</v>
      </c>
      <c r="F145" s="53">
        <v>0.18</v>
      </c>
      <c r="G145" s="3" t="s">
        <v>40</v>
      </c>
      <c r="K145" s="58"/>
    </row>
    <row r="146" spans="1:11">
      <c r="A146" s="3" t="s">
        <v>191</v>
      </c>
      <c r="B146" s="3">
        <v>382.57508509189927</v>
      </c>
      <c r="C146" s="53">
        <v>6.0399082568807346E-3</v>
      </c>
      <c r="D146" s="53">
        <f t="shared" si="2"/>
        <v>5.2219473999336782E-2</v>
      </c>
      <c r="E146" s="53">
        <v>7.219473999336784E-3</v>
      </c>
      <c r="F146" s="53">
        <v>0</v>
      </c>
      <c r="G146" s="3" t="s">
        <v>38</v>
      </c>
      <c r="K146" s="58"/>
    </row>
    <row r="147" spans="1:11">
      <c r="A147" s="3" t="s">
        <v>192</v>
      </c>
      <c r="B147" s="3">
        <v>2622.4339596041618</v>
      </c>
      <c r="C147" s="53">
        <v>7.3341743119266058E-3</v>
      </c>
      <c r="D147" s="53">
        <f t="shared" si="2"/>
        <v>5.3766504142051808E-2</v>
      </c>
      <c r="E147" s="53">
        <v>8.7665041420518092E-3</v>
      </c>
      <c r="F147" s="53">
        <v>0.25</v>
      </c>
      <c r="G147" s="3" t="s">
        <v>42</v>
      </c>
      <c r="K147" s="58"/>
    </row>
    <row r="148" spans="1:11">
      <c r="A148" s="3" t="s">
        <v>193</v>
      </c>
      <c r="B148" s="3">
        <v>19390.603999999999</v>
      </c>
      <c r="C148" s="53">
        <v>0</v>
      </c>
      <c r="D148" s="112">
        <v>4.4999999999999998E-2</v>
      </c>
      <c r="E148" s="53">
        <v>0</v>
      </c>
      <c r="F148" s="53">
        <v>0.25</v>
      </c>
      <c r="G148" s="3" t="s">
        <v>73</v>
      </c>
    </row>
    <row r="149" spans="1:11">
      <c r="A149" s="3" t="s">
        <v>194</v>
      </c>
      <c r="B149" s="3">
        <v>56.15697215769584</v>
      </c>
      <c r="C149" s="53">
        <v>2.3296788990825688E-2</v>
      </c>
      <c r="D149" s="53">
        <f>$D$148+E149</f>
        <v>7.2846542568870451E-2</v>
      </c>
      <c r="E149" s="53">
        <v>2.7846542568870453E-2</v>
      </c>
      <c r="F149" s="53">
        <v>0.25</v>
      </c>
      <c r="G149" s="3" t="s">
        <v>46</v>
      </c>
    </row>
    <row r="150" spans="1:11">
      <c r="A150" s="3" t="s">
        <v>195</v>
      </c>
      <c r="B150" s="3">
        <v>250</v>
      </c>
      <c r="C150" s="58">
        <v>0.17499999999999999</v>
      </c>
      <c r="D150" s="53">
        <f t="shared" ref="D150:D152" si="3">$D$148+E150</f>
        <v>0.27992692770782934</v>
      </c>
      <c r="E150" s="58">
        <v>0.23492692770782936</v>
      </c>
      <c r="F150" s="3">
        <v>0.34</v>
      </c>
      <c r="G150" s="3" t="s">
        <v>46</v>
      </c>
    </row>
    <row r="151" spans="1:11">
      <c r="A151" s="3" t="s">
        <v>196</v>
      </c>
      <c r="B151" s="3">
        <v>223.86399635465543</v>
      </c>
      <c r="C151" s="58">
        <v>3.6814678899082569E-2</v>
      </c>
      <c r="D151" s="53">
        <f t="shared" si="3"/>
        <v>8.9004412948338496E-2</v>
      </c>
      <c r="E151" s="58">
        <v>4.4004412948338498E-2</v>
      </c>
      <c r="F151" s="3">
        <v>0.2</v>
      </c>
      <c r="G151" s="3" t="s">
        <v>57</v>
      </c>
    </row>
    <row r="152" spans="1:11">
      <c r="A152" s="3" t="s">
        <v>197</v>
      </c>
      <c r="B152" s="3">
        <v>25.808666421555753</v>
      </c>
      <c r="C152" s="58">
        <v>0.14682729357798166</v>
      </c>
      <c r="D152" s="53">
        <f t="shared" si="3"/>
        <v>0.19128029460560964</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0.13663852306889546</v>
      </c>
      <c r="C156" s="111">
        <v>9.1638523068895444E-2</v>
      </c>
      <c r="D156" s="111">
        <v>6.8262679351091926E-2</v>
      </c>
      <c r="E156" s="111">
        <v>0.27302836489005694</v>
      </c>
      <c r="G156" s="153" t="s">
        <v>672</v>
      </c>
      <c r="H156" s="154"/>
    </row>
    <row r="157" spans="1:11">
      <c r="A157" s="110" t="s">
        <v>57</v>
      </c>
      <c r="B157" s="111">
        <f t="shared" ref="B157:B162" si="4">$B$163+C157</f>
        <v>6.1805405008578562E-2</v>
      </c>
      <c r="C157" s="111">
        <v>1.6805405008578567E-2</v>
      </c>
      <c r="D157" s="111">
        <v>1.2518555898193178E-2</v>
      </c>
      <c r="E157" s="111">
        <v>0.2576437502455447</v>
      </c>
      <c r="G157" s="155"/>
      <c r="H157" s="156"/>
    </row>
    <row r="158" spans="1:11">
      <c r="A158" s="110" t="s">
        <v>51</v>
      </c>
      <c r="B158" s="111">
        <f t="shared" si="4"/>
        <v>4.5047923618641933E-2</v>
      </c>
      <c r="C158" s="111">
        <v>4.7923618641935289E-5</v>
      </c>
      <c r="D158" s="111">
        <v>3.5698901544265913E-5</v>
      </c>
      <c r="E158" s="111">
        <v>0.29744361328762281</v>
      </c>
      <c r="G158" s="157"/>
      <c r="H158" s="158"/>
    </row>
    <row r="159" spans="1:11">
      <c r="A159" s="110" t="s">
        <v>49</v>
      </c>
      <c r="B159" s="111">
        <f t="shared" si="4"/>
        <v>0.1865348819700155</v>
      </c>
      <c r="C159" s="111">
        <v>0.14153488197001549</v>
      </c>
      <c r="D159" s="111">
        <v>0.1054310997313879</v>
      </c>
      <c r="E159" s="111">
        <v>0.2724561140242252</v>
      </c>
    </row>
    <row r="160" spans="1:11">
      <c r="A160" s="110" t="s">
        <v>46</v>
      </c>
      <c r="B160" s="111">
        <f t="shared" si="4"/>
        <v>0.10261091058162494</v>
      </c>
      <c r="C160" s="111">
        <v>5.7610910581624951E-2</v>
      </c>
      <c r="D160" s="111">
        <v>4.2915086193622262E-2</v>
      </c>
      <c r="E160" s="111">
        <v>0.31595749426030023</v>
      </c>
    </row>
    <row r="161" spans="1:5">
      <c r="A161" s="110" t="s">
        <v>40</v>
      </c>
      <c r="B161" s="111">
        <f t="shared" si="4"/>
        <v>9.5579383477192262E-2</v>
      </c>
      <c r="C161" s="111">
        <v>5.0579383477192263E-2</v>
      </c>
      <c r="D161" s="111">
        <v>3.7670398345457844E-2</v>
      </c>
      <c r="E161" s="111">
        <v>0.18485819102180306</v>
      </c>
    </row>
    <row r="162" spans="1:5">
      <c r="A162" s="110" t="s">
        <v>38</v>
      </c>
      <c r="B162" s="111">
        <f t="shared" si="4"/>
        <v>6.6589990892489848E-2</v>
      </c>
      <c r="C162" s="111">
        <v>2.1589990892489853E-2</v>
      </c>
      <c r="D162" s="111">
        <v>1.6082653627874467E-2</v>
      </c>
      <c r="E162" s="111">
        <v>0.18760152153615242</v>
      </c>
    </row>
    <row r="163" spans="1:5">
      <c r="A163" s="110" t="s">
        <v>73</v>
      </c>
      <c r="B163" s="111">
        <f>D148</f>
        <v>4.4999999999999998E-2</v>
      </c>
      <c r="C163" s="111">
        <v>0</v>
      </c>
      <c r="D163" s="111">
        <v>0</v>
      </c>
      <c r="E163" s="111">
        <v>0.25116286561170831</v>
      </c>
    </row>
    <row r="164" spans="1:5">
      <c r="A164" s="110" t="s">
        <v>42</v>
      </c>
      <c r="B164" s="111">
        <f>$B$163+C164</f>
        <v>5.7871606293643366E-2</v>
      </c>
      <c r="C164" s="111">
        <v>1.2871606293643371E-2</v>
      </c>
      <c r="D164" s="111">
        <v>9.5882201472833571E-3</v>
      </c>
      <c r="E164" s="111">
        <v>0.24707349543413576</v>
      </c>
    </row>
    <row r="165" spans="1:5">
      <c r="A165" s="110" t="s">
        <v>597</v>
      </c>
      <c r="B165" s="111">
        <f>$B$163+C165</f>
        <v>6.3100000000000003E-2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4362.2</v>
      </c>
      <c r="C2" s="88">
        <v>972.8</v>
      </c>
      <c r="D2" s="88">
        <v>948.6</v>
      </c>
      <c r="E2" s="87">
        <f>B2-C2+D2</f>
        <v>4338</v>
      </c>
    </row>
    <row r="3" spans="1:7">
      <c r="A3" s="86" t="s">
        <v>604</v>
      </c>
      <c r="B3" s="88">
        <v>0</v>
      </c>
      <c r="C3" s="88">
        <v>0</v>
      </c>
      <c r="D3" s="88">
        <v>0</v>
      </c>
      <c r="E3" s="87">
        <f>B3-C3+D3</f>
        <v>0</v>
      </c>
    </row>
    <row r="4" spans="1:7">
      <c r="A4" s="86" t="s">
        <v>6</v>
      </c>
      <c r="B4" s="88">
        <v>652.70000000000005</v>
      </c>
      <c r="C4" s="88">
        <v>100.1</v>
      </c>
      <c r="D4" s="88">
        <v>73.099999999999994</v>
      </c>
      <c r="E4" s="87">
        <f>B4-C4+D4</f>
        <v>625.70000000000005</v>
      </c>
    </row>
    <row r="5" spans="1:7">
      <c r="A5" s="86" t="s">
        <v>605</v>
      </c>
      <c r="B5" s="88">
        <v>45.9</v>
      </c>
      <c r="C5" s="88">
        <v>10.199999999999999</v>
      </c>
      <c r="D5" s="88">
        <v>14.2</v>
      </c>
      <c r="E5" s="87">
        <f>B5-C5+D5</f>
        <v>49.900000000000006</v>
      </c>
    </row>
    <row r="6" spans="1:7">
      <c r="E6" s="87"/>
    </row>
    <row r="7" spans="1:7">
      <c r="A7" s="74" t="s">
        <v>670</v>
      </c>
      <c r="B7" s="89">
        <v>87.4</v>
      </c>
      <c r="C7" s="89">
        <v>21.9</v>
      </c>
      <c r="D7" s="89">
        <v>28.1</v>
      </c>
      <c r="E7" s="87">
        <f>B7-C7+D7</f>
        <v>93.6</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0.06</v>
      </c>
      <c r="D2" s="21">
        <f>C2</f>
        <v>0.06</v>
      </c>
      <c r="E2" s="21">
        <f>'Input Sheet'!C23</f>
        <v>0.05</v>
      </c>
      <c r="F2" s="21">
        <f>E2</f>
        <v>0.05</v>
      </c>
      <c r="G2" s="21">
        <f>F2</f>
        <v>0.05</v>
      </c>
      <c r="H2" s="21">
        <f>G2-((G2-'Input Sheet'!B27)/5)</f>
        <v>4.8600000000000004E-2</v>
      </c>
      <c r="I2" s="21">
        <f>G2-((G2-'Input Sheet'!B27)/5)*2</f>
        <v>4.7199999999999999E-2</v>
      </c>
      <c r="J2" s="21">
        <f>G2-((G2-'Input Sheet'!B27)/5)*3</f>
        <v>4.58E-2</v>
      </c>
      <c r="K2" s="21">
        <f>G2-((G2-'Input Sheet'!B27)/5)*4</f>
        <v>4.4399999999999995E-2</v>
      </c>
      <c r="L2" s="21">
        <f>G2-((G2-'Input Sheet'!B27)/5)*5</f>
        <v>4.2999999999999997E-2</v>
      </c>
      <c r="M2" s="21">
        <f>L2</f>
        <v>4.2999999999999997E-2</v>
      </c>
    </row>
    <row r="3" spans="1:14">
      <c r="A3" s="3" t="s">
        <v>5</v>
      </c>
      <c r="B3" s="29">
        <f>'Input Sheet'!B8</f>
        <v>1787.65</v>
      </c>
      <c r="C3" s="29">
        <f>B3*(1+C2)</f>
        <v>1894.9090000000001</v>
      </c>
      <c r="D3" s="29">
        <f t="shared" ref="D3:L3" si="0">C3*(1+D2)</f>
        <v>2008.6035400000003</v>
      </c>
      <c r="E3" s="29">
        <f t="shared" si="0"/>
        <v>2109.0337170000003</v>
      </c>
      <c r="F3" s="29">
        <f t="shared" si="0"/>
        <v>2214.4854028500004</v>
      </c>
      <c r="G3" s="29">
        <f t="shared" si="0"/>
        <v>2325.2096729925006</v>
      </c>
      <c r="H3" s="29">
        <f t="shared" si="0"/>
        <v>2438.2148630999359</v>
      </c>
      <c r="I3" s="29">
        <f t="shared" si="0"/>
        <v>2553.2986046382525</v>
      </c>
      <c r="J3" s="29">
        <f t="shared" si="0"/>
        <v>2670.2396807306845</v>
      </c>
      <c r="K3" s="29">
        <f t="shared" si="0"/>
        <v>2788.798322555127</v>
      </c>
      <c r="L3" s="29">
        <f t="shared" si="0"/>
        <v>2908.7166504249972</v>
      </c>
      <c r="M3" s="45">
        <f>L3*(1+M2)</f>
        <v>3033.791466393272</v>
      </c>
    </row>
    <row r="4" spans="1:14">
      <c r="A4" s="3" t="s">
        <v>350</v>
      </c>
      <c r="B4" s="21">
        <f>B5/B3</f>
        <v>0.14052806757474898</v>
      </c>
      <c r="C4" s="21">
        <f>'Input Sheet'!$B$24-(('Input Sheet'!$B$24-$B$4)/10)*(10-C1)</f>
        <v>0.15047526081727408</v>
      </c>
      <c r="D4" s="21">
        <f>'Input Sheet'!$B$24-(('Input Sheet'!$B$24-$B$4)/10)*(10-D1)</f>
        <v>0.16042245405979919</v>
      </c>
      <c r="E4" s="21">
        <f>'Input Sheet'!$B$24-(('Input Sheet'!$B$24-$B$4)/10)*(10-E1)</f>
        <v>0.17036964730232429</v>
      </c>
      <c r="F4" s="21">
        <f>'Input Sheet'!$B$24-(('Input Sheet'!$B$24-$B$4)/10)*(10-F1)</f>
        <v>0.18031684054484939</v>
      </c>
      <c r="G4" s="21">
        <f>'Input Sheet'!$B$24-(('Input Sheet'!$B$24-$B$4)/10)*(10-G1)</f>
        <v>0.1902640337873745</v>
      </c>
      <c r="H4" s="21">
        <f>'Input Sheet'!$B$24-(('Input Sheet'!$B$24-$B$4)/10)*(10-H1)</f>
        <v>0.20021122702989957</v>
      </c>
      <c r="I4" s="21">
        <f>'Input Sheet'!$B$24-(('Input Sheet'!$B$24-$B$4)/10)*(10-I1)</f>
        <v>0.21015842027242468</v>
      </c>
      <c r="J4" s="21">
        <f>'Input Sheet'!$B$24-(('Input Sheet'!$B$24-$B$4)/10)*(10-J1)</f>
        <v>0.22010561351494978</v>
      </c>
      <c r="K4" s="21">
        <f>'Input Sheet'!$B$24-(('Input Sheet'!$B$24-$B$4)/10)*(10-K1)</f>
        <v>0.23005280675747489</v>
      </c>
      <c r="L4" s="21">
        <f>'Input Sheet'!$B$24-(('Input Sheet'!$B$24-$B$4)/10)*(10-L1)</f>
        <v>0.24</v>
      </c>
      <c r="M4" s="21">
        <f>L4</f>
        <v>0.24</v>
      </c>
    </row>
    <row r="5" spans="1:14">
      <c r="A5" s="3" t="s">
        <v>351</v>
      </c>
      <c r="B5" s="30">
        <f>IF('Input Sheet'!B14="Yes",IF('Input Sheet'!B13="Yes",'Input Sheet'!B9+'Operating lease converter'!F32+'R&amp; D converter'!D39,'Input Sheet'!B9+'Operating lease converter'!F32),IF('Input Sheet'!B13="Yes",'Input Sheet'!B9+'R&amp; D converter'!D39,'Input Sheet'!B9))</f>
        <v>251.215</v>
      </c>
      <c r="C5" s="30">
        <f t="shared" ref="C5:M5" si="1">C4*C3</f>
        <v>285.13692600000002</v>
      </c>
      <c r="D5" s="30">
        <f t="shared" si="1"/>
        <v>322.22510912000007</v>
      </c>
      <c r="E5" s="30">
        <f t="shared" si="1"/>
        <v>359.31533051400004</v>
      </c>
      <c r="F5" s="30">
        <f t="shared" si="1"/>
        <v>399.3090112746001</v>
      </c>
      <c r="G5" s="30">
        <f t="shared" si="1"/>
        <v>442.40377178497516</v>
      </c>
      <c r="H5" s="30">
        <f t="shared" si="1"/>
        <v>488.15798950377678</v>
      </c>
      <c r="I5" s="30">
        <f t="shared" si="1"/>
        <v>536.59720123456134</v>
      </c>
      <c r="J5" s="30">
        <f t="shared" si="1"/>
        <v>587.734743159191</v>
      </c>
      <c r="K5" s="30">
        <f t="shared" si="1"/>
        <v>641.57088158434476</v>
      </c>
      <c r="L5" s="30">
        <f t="shared" si="1"/>
        <v>698.09199610199926</v>
      </c>
      <c r="M5" s="30">
        <f t="shared" si="1"/>
        <v>728.10995193438521</v>
      </c>
      <c r="N5" s="46">
        <f>M5-B5</f>
        <v>476.89495193438518</v>
      </c>
    </row>
    <row r="6" spans="1:14">
      <c r="A6" s="3" t="s">
        <v>352</v>
      </c>
      <c r="B6" s="21">
        <f>'Input Sheet'!B20</f>
        <v>0.24696016771488469</v>
      </c>
      <c r="C6" s="21">
        <f>B6</f>
        <v>0.24696016771488469</v>
      </c>
      <c r="D6" s="21">
        <f>C6</f>
        <v>0.24696016771488469</v>
      </c>
      <c r="E6" s="21">
        <f>D6</f>
        <v>0.24696016771488469</v>
      </c>
      <c r="F6" s="21">
        <f>E6</f>
        <v>0.24696016771488469</v>
      </c>
      <c r="G6" s="21">
        <f>F6</f>
        <v>0.24696016771488469</v>
      </c>
      <c r="H6" s="21">
        <f>G6+($M$6-$G$6)/5</f>
        <v>0.24756813417190776</v>
      </c>
      <c r="I6" s="21">
        <f>H6+($M$6-$G$6)/5</f>
        <v>0.24817610062893083</v>
      </c>
      <c r="J6" s="21">
        <f>I6+($M$6-$G$6)/5</f>
        <v>0.24878406708595391</v>
      </c>
      <c r="K6" s="21">
        <f>J6+($M$6-$G$6)/5</f>
        <v>0.24939203354297698</v>
      </c>
      <c r="L6" s="21">
        <f>K6+($M$6-$G$6)/5</f>
        <v>0.25000000000000006</v>
      </c>
      <c r="M6" s="21">
        <f>IF('Input Sheet'!B49="Yes",'Input Sheet'!B20,'Input Sheet'!B21)</f>
        <v>0.25</v>
      </c>
    </row>
    <row r="7" spans="1:14">
      <c r="A7" s="3" t="s">
        <v>353</v>
      </c>
      <c r="B7" s="29">
        <f>IF(B5&gt;0,B5*(1-B6),B5)</f>
        <v>189.17490146750524</v>
      </c>
      <c r="C7" s="29">
        <f>IF(C5&gt;0,IF(C5&lt;B10,C5,C5-(C5-B10)*C6),C5)</f>
        <v>214.71946293333335</v>
      </c>
      <c r="D7" s="29">
        <f t="shared" ref="D7:L7" si="2">IF(D5&gt;0,IF(D5&lt;C10,D5,D5-(D5-C10)*D6),D5)</f>
        <v>242.64834212977783</v>
      </c>
      <c r="E7" s="29">
        <f t="shared" si="2"/>
        <v>270.57875622773338</v>
      </c>
      <c r="F7" s="29">
        <f t="shared" si="2"/>
        <v>300.69559088016007</v>
      </c>
      <c r="G7" s="29">
        <f t="shared" si="2"/>
        <v>333.14766210726015</v>
      </c>
      <c r="H7" s="29">
        <f t="shared" si="2"/>
        <v>367.30562686121704</v>
      </c>
      <c r="I7" s="29">
        <f t="shared" si="2"/>
        <v>403.42660022377021</v>
      </c>
      <c r="J7" s="29">
        <f t="shared" si="2"/>
        <v>441.51570338832892</v>
      </c>
      <c r="K7" s="29">
        <f t="shared" si="2"/>
        <v>481.56821476406458</v>
      </c>
      <c r="L7" s="29">
        <f t="shared" si="2"/>
        <v>523.56899707649939</v>
      </c>
      <c r="M7" s="29">
        <f>M5*(1-M6)</f>
        <v>546.08246395078891</v>
      </c>
    </row>
    <row r="8" spans="1:14">
      <c r="A8" s="3" t="s">
        <v>354</v>
      </c>
      <c r="B8" s="47"/>
      <c r="C8" s="29">
        <f t="shared" ref="C8:L8" si="3">(C3-B3)/C38</f>
        <v>71.506000000000014</v>
      </c>
      <c r="D8" s="29">
        <f t="shared" si="3"/>
        <v>75.796360000000121</v>
      </c>
      <c r="E8" s="29">
        <f t="shared" si="3"/>
        <v>50.215088499999979</v>
      </c>
      <c r="F8" s="29">
        <f t="shared" si="3"/>
        <v>52.725842925000052</v>
      </c>
      <c r="G8" s="29">
        <f t="shared" si="3"/>
        <v>55.362135071250123</v>
      </c>
      <c r="H8" s="29">
        <f t="shared" si="3"/>
        <v>56.502595053717641</v>
      </c>
      <c r="I8" s="29">
        <f t="shared" si="3"/>
        <v>57.541870769158322</v>
      </c>
      <c r="J8" s="29">
        <f t="shared" si="3"/>
        <v>58.470538046216006</v>
      </c>
      <c r="K8" s="29">
        <f t="shared" si="3"/>
        <v>59.279320912221237</v>
      </c>
      <c r="L8" s="29">
        <f t="shared" si="3"/>
        <v>59.959163934935077</v>
      </c>
      <c r="M8" s="29">
        <f>(M2/M40)*M7</f>
        <v>266.83574943049916</v>
      </c>
      <c r="N8" s="46">
        <f>SUM(C8:M8)</f>
        <v>864.19466464299774</v>
      </c>
    </row>
    <row r="9" spans="1:14">
      <c r="A9" s="3" t="s">
        <v>355</v>
      </c>
      <c r="B9" s="47"/>
      <c r="C9" s="29">
        <f t="shared" ref="C9:L9" si="4">C7-C8</f>
        <v>143.21346293333335</v>
      </c>
      <c r="D9" s="29">
        <f t="shared" si="4"/>
        <v>166.8519821297777</v>
      </c>
      <c r="E9" s="29">
        <f t="shared" si="4"/>
        <v>220.3636677277334</v>
      </c>
      <c r="F9" s="29">
        <f t="shared" si="4"/>
        <v>247.96974795516002</v>
      </c>
      <c r="G9" s="29">
        <f t="shared" si="4"/>
        <v>277.78552703601002</v>
      </c>
      <c r="H9" s="29">
        <f t="shared" si="4"/>
        <v>310.80303180749939</v>
      </c>
      <c r="I9" s="29">
        <f t="shared" si="4"/>
        <v>345.88472945461189</v>
      </c>
      <c r="J9" s="29">
        <f t="shared" si="4"/>
        <v>383.04516534211291</v>
      </c>
      <c r="K9" s="29">
        <f t="shared" si="4"/>
        <v>422.28889385184334</v>
      </c>
      <c r="L9" s="29">
        <f t="shared" si="4"/>
        <v>463.60983314156431</v>
      </c>
      <c r="M9" s="29">
        <f>M7-M8</f>
        <v>279.24671452028974</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7.7253641887784039E-2</v>
      </c>
      <c r="D12" s="21">
        <f>C12</f>
        <v>7.7253641887784039E-2</v>
      </c>
      <c r="E12" s="21">
        <f>D12</f>
        <v>7.7253641887784039E-2</v>
      </c>
      <c r="F12" s="21">
        <f>E12</f>
        <v>7.7253641887784039E-2</v>
      </c>
      <c r="G12" s="21">
        <f>F12</f>
        <v>7.7253641887784039E-2</v>
      </c>
      <c r="H12" s="21">
        <f>G12-($G$12-$M$12)/5</f>
        <v>7.9402913510227227E-2</v>
      </c>
      <c r="I12" s="21">
        <f>H12-($G$12-$M$12)/5</f>
        <v>8.1552185132670416E-2</v>
      </c>
      <c r="J12" s="21">
        <f>I12-($G$12-$M$12)/5</f>
        <v>8.3701456755113604E-2</v>
      </c>
      <c r="K12" s="21">
        <f>J12-($G$12-$M$12)/5</f>
        <v>8.5850728377556793E-2</v>
      </c>
      <c r="L12" s="21">
        <f>K12-($G$12-$M$12)/5</f>
        <v>8.7999999999999981E-2</v>
      </c>
      <c r="M12" s="21">
        <f>IF('Input Sheet'!B38="Yes",'Input Sheet'!B39,'Input Sheet'!B27+0.045)</f>
        <v>8.7999999999999995E-2</v>
      </c>
    </row>
    <row r="13" spans="1:14">
      <c r="A13" s="3" t="s">
        <v>358</v>
      </c>
      <c r="C13" s="48">
        <f>1/(1+C12)</f>
        <v>0.92828648808055603</v>
      </c>
      <c r="D13" s="48">
        <f>C13*(1/(1+D12))</f>
        <v>0.86171580395293224</v>
      </c>
      <c r="E13" s="48">
        <f t="shared" ref="E13:L13" si="6">D13*(1/(1+E12))</f>
        <v>0.79991913737498044</v>
      </c>
      <c r="F13" s="48">
        <f t="shared" si="6"/>
        <v>0.74255412678224841</v>
      </c>
      <c r="G13" s="48">
        <f t="shared" si="6"/>
        <v>0.68930296256041734</v>
      </c>
      <c r="H13" s="48">
        <f t="shared" si="6"/>
        <v>0.63859653696764485</v>
      </c>
      <c r="I13" s="48">
        <f t="shared" si="6"/>
        <v>0.59044449795948617</v>
      </c>
      <c r="J13" s="48">
        <f t="shared" si="6"/>
        <v>0.54484055020783295</v>
      </c>
      <c r="K13" s="48">
        <f t="shared" si="6"/>
        <v>0.50176376546886536</v>
      </c>
      <c r="L13" s="48">
        <f t="shared" si="6"/>
        <v>0.46117993149711889</v>
      </c>
    </row>
    <row r="14" spans="1:14">
      <c r="A14" s="3" t="s">
        <v>359</v>
      </c>
      <c r="C14" s="29">
        <f t="shared" ref="C14:L14" si="7">C9*C13</f>
        <v>132.94312255223889</v>
      </c>
      <c r="D14" s="29">
        <f t="shared" si="7"/>
        <v>143.77898992210166</v>
      </c>
      <c r="E14" s="29">
        <f t="shared" si="7"/>
        <v>176.27311499755533</v>
      </c>
      <c r="F14" s="29">
        <f t="shared" si="7"/>
        <v>184.13095966125809</v>
      </c>
      <c r="G14" s="29">
        <f t="shared" si="7"/>
        <v>191.47838674232861</v>
      </c>
      <c r="H14" s="29">
        <f t="shared" si="7"/>
        <v>198.47773979131389</v>
      </c>
      <c r="I14" s="29">
        <f t="shared" si="7"/>
        <v>204.22573543468101</v>
      </c>
      <c r="J14" s="29">
        <f t="shared" si="7"/>
        <v>208.69853863944715</v>
      </c>
      <c r="K14" s="29">
        <f t="shared" si="7"/>
        <v>211.8892654947829</v>
      </c>
      <c r="L14" s="29">
        <f t="shared" si="7"/>
        <v>213.80755108961733</v>
      </c>
    </row>
    <row r="16" spans="1:14">
      <c r="A16" s="13" t="s">
        <v>360</v>
      </c>
      <c r="B16" s="29">
        <f>M9</f>
        <v>279.24671452028974</v>
      </c>
    </row>
    <row r="17" spans="1:2">
      <c r="A17" s="3" t="s">
        <v>361</v>
      </c>
      <c r="B17" s="21">
        <f>M12</f>
        <v>8.7999999999999995E-2</v>
      </c>
    </row>
    <row r="18" spans="1:2">
      <c r="A18" s="3" t="s">
        <v>362</v>
      </c>
      <c r="B18" s="29">
        <f>B16/(B17-'Input Sheet'!B27)</f>
        <v>6205.4825448953279</v>
      </c>
    </row>
    <row r="19" spans="1:2">
      <c r="A19" s="3" t="s">
        <v>363</v>
      </c>
      <c r="B19" s="29">
        <f>B18*L13</f>
        <v>2861.8440149613944</v>
      </c>
    </row>
    <row r="20" spans="1:2">
      <c r="A20" s="3" t="s">
        <v>364</v>
      </c>
      <c r="B20" s="29">
        <f>SUM(C14:L14)</f>
        <v>1865.703404325325</v>
      </c>
    </row>
    <row r="21" spans="1:2">
      <c r="A21" s="3" t="s">
        <v>365</v>
      </c>
      <c r="B21" s="29">
        <f>B19+B20</f>
        <v>4727.5474192867196</v>
      </c>
    </row>
    <row r="22" spans="1:2">
      <c r="A22" s="3" t="s">
        <v>366</v>
      </c>
      <c r="B22" s="21">
        <f>IF('Input Sheet'!B44="Yes",'Input Sheet'!B45,0)</f>
        <v>0</v>
      </c>
    </row>
    <row r="23" spans="1:2">
      <c r="A23" s="3" t="s">
        <v>367</v>
      </c>
      <c r="B23" s="29">
        <f>IF('Input Sheet'!B46="B",('Input Sheet'!B11+'Input Sheet'!B12)*'Input Sheet'!B47,'Valuation Output'!B21*'Input Sheet'!B47)</f>
        <v>806.49499999999989</v>
      </c>
    </row>
    <row r="24" spans="1:2">
      <c r="A24" s="3" t="s">
        <v>368</v>
      </c>
      <c r="B24" s="29">
        <f>B21*(1-B22)+B23*B22</f>
        <v>4727.5474192867196</v>
      </c>
    </row>
    <row r="25" spans="1:2">
      <c r="A25" s="3" t="s">
        <v>369</v>
      </c>
      <c r="B25" s="29">
        <f>IF('Input Sheet'!B14="Yes",'Input Sheet'!B12+'Operating lease converter'!C28,'Input Sheet'!B12)+'Input Sheet'!F16</f>
        <v>790.18999999999994</v>
      </c>
    </row>
    <row r="26" spans="1:2">
      <c r="A26" s="3" t="s">
        <v>370</v>
      </c>
      <c r="B26" s="29">
        <f>'Input Sheet'!B17</f>
        <v>0</v>
      </c>
    </row>
    <row r="27" spans="1:2">
      <c r="A27" s="3" t="s">
        <v>371</v>
      </c>
      <c r="B27" s="29">
        <f>IF('Input Sheet'!B54="YES",'Input Sheet'!B15-'Input Sheet'!B55*('Input Sheet'!B21-'Input Sheet'!B56),'Input Sheet'!B15)</f>
        <v>146.44</v>
      </c>
    </row>
    <row r="28" spans="1:2">
      <c r="A28" s="3" t="s">
        <v>372</v>
      </c>
      <c r="B28" s="29">
        <f>'Input Sheet'!B16</f>
        <v>0</v>
      </c>
    </row>
    <row r="29" spans="1:2">
      <c r="A29" s="3" t="s">
        <v>373</v>
      </c>
      <c r="B29" s="29">
        <f>B24-B25-B26+B27+B28</f>
        <v>4083.7974192867196</v>
      </c>
    </row>
    <row r="30" spans="1:2">
      <c r="A30" s="3" t="s">
        <v>374</v>
      </c>
      <c r="B30" s="29">
        <f>IF('Input Sheet'!B30="No",0,'Option value'!D27)</f>
        <v>0</v>
      </c>
    </row>
    <row r="31" spans="1:2">
      <c r="A31" s="3" t="s">
        <v>375</v>
      </c>
      <c r="B31" s="29">
        <f>B29-B30</f>
        <v>4083.7974192867196</v>
      </c>
    </row>
    <row r="32" spans="1:2">
      <c r="A32" s="3" t="s">
        <v>376</v>
      </c>
      <c r="B32" s="23">
        <f>'Input Sheet'!B18</f>
        <v>39.32</v>
      </c>
    </row>
    <row r="33" spans="1:13">
      <c r="A33" s="3" t="s">
        <v>377</v>
      </c>
      <c r="B33" s="51">
        <f>B31/B32</f>
        <v>103.86056508867547</v>
      </c>
    </row>
    <row r="34" spans="1:13">
      <c r="A34" s="3" t="s">
        <v>378</v>
      </c>
      <c r="B34" s="29">
        <f>'Input Sheet'!B19</f>
        <v>178.45</v>
      </c>
    </row>
    <row r="35" spans="1:13">
      <c r="A35" s="27" t="s">
        <v>379</v>
      </c>
      <c r="B35" s="49">
        <f>B34/B33</f>
        <v>1.7181689686325174</v>
      </c>
      <c r="D35" s="50">
        <f>(B33-B34)/B34</f>
        <v>-0.41798506534785385</v>
      </c>
      <c r="E35" s="3" t="str">
        <f>IF(D35&gt;0,"upside","downside")</f>
        <v>downside</v>
      </c>
    </row>
    <row r="37" spans="1:13">
      <c r="A37" s="13" t="s">
        <v>380</v>
      </c>
      <c r="B37" s="13"/>
      <c r="M37" s="3" t="s">
        <v>598</v>
      </c>
    </row>
    <row r="38" spans="1:13">
      <c r="A38" s="3" t="s">
        <v>381</v>
      </c>
      <c r="C38" s="23">
        <f>'Input Sheet'!B25</f>
        <v>1.5</v>
      </c>
      <c r="D38" s="23">
        <f t="shared" ref="D38:L38" si="8">C38</f>
        <v>1.5</v>
      </c>
      <c r="E38" s="23">
        <f>'Input Sheet'!C25</f>
        <v>2</v>
      </c>
      <c r="F38" s="23">
        <f t="shared" si="8"/>
        <v>2</v>
      </c>
      <c r="G38" s="23">
        <f t="shared" si="8"/>
        <v>2</v>
      </c>
      <c r="H38" s="23">
        <f t="shared" si="8"/>
        <v>2</v>
      </c>
      <c r="I38" s="23">
        <f t="shared" si="8"/>
        <v>2</v>
      </c>
      <c r="J38" s="23">
        <f t="shared" si="8"/>
        <v>2</v>
      </c>
      <c r="K38" s="23">
        <f t="shared" si="8"/>
        <v>2</v>
      </c>
      <c r="L38" s="23">
        <f t="shared" si="8"/>
        <v>2</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1563.0399999999997</v>
      </c>
      <c r="C39" s="29">
        <f t="shared" ref="C39:L39" si="9">B39+C8</f>
        <v>1634.5459999999998</v>
      </c>
      <c r="D39" s="29">
        <f t="shared" si="9"/>
        <v>1710.3423599999999</v>
      </c>
      <c r="E39" s="29">
        <f t="shared" si="9"/>
        <v>1760.5574484999997</v>
      </c>
      <c r="F39" s="29">
        <f t="shared" si="9"/>
        <v>1813.2832914249998</v>
      </c>
      <c r="G39" s="29">
        <f t="shared" si="9"/>
        <v>1868.6454264962499</v>
      </c>
      <c r="H39" s="29">
        <f t="shared" si="9"/>
        <v>1925.1480215499676</v>
      </c>
      <c r="I39" s="29">
        <f t="shared" si="9"/>
        <v>1982.6898923191259</v>
      </c>
      <c r="J39" s="29">
        <f t="shared" si="9"/>
        <v>2041.1604303653419</v>
      </c>
      <c r="K39" s="29">
        <f t="shared" si="9"/>
        <v>2100.4397512775631</v>
      </c>
      <c r="L39" s="29">
        <f t="shared" si="9"/>
        <v>2160.3989152124982</v>
      </c>
    </row>
    <row r="40" spans="1:13">
      <c r="A40" s="3" t="s">
        <v>383</v>
      </c>
      <c r="B40" s="28">
        <f t="shared" ref="B40:L40" si="10">B7/B39</f>
        <v>0.12103010893355594</v>
      </c>
      <c r="C40" s="28">
        <f t="shared" si="10"/>
        <v>0.13136336507711216</v>
      </c>
      <c r="D40" s="28">
        <f t="shared" si="10"/>
        <v>0.1418712111707143</v>
      </c>
      <c r="E40" s="28">
        <f t="shared" si="10"/>
        <v>0.15368925135517009</v>
      </c>
      <c r="F40" s="28">
        <f t="shared" si="10"/>
        <v>0.165829350715438</v>
      </c>
      <c r="G40" s="28">
        <f t="shared" si="10"/>
        <v>0.17828297299392915</v>
      </c>
      <c r="H40" s="28">
        <f t="shared" si="10"/>
        <v>0.1907934469192106</v>
      </c>
      <c r="I40" s="28">
        <f t="shared" si="10"/>
        <v>0.20347438184187619</v>
      </c>
      <c r="J40" s="28">
        <f t="shared" si="10"/>
        <v>0.21630622307787106</v>
      </c>
      <c r="K40" s="28">
        <f t="shared" si="10"/>
        <v>0.22927018709827665</v>
      </c>
      <c r="L40" s="28">
        <f t="shared" si="10"/>
        <v>0.24234829659919579</v>
      </c>
      <c r="M40" s="28">
        <f>IF('Input Sheet'!B41="Yes",'Input Sheet'!B42,'Valuation Output'!L12)</f>
        <v>8.7999999999999981E-2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41" workbookViewId="0">
      <selection activeCell="K51" sqref="K5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Yes</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0.16996629470859648</v>
      </c>
      <c r="W7" s="53">
        <f>'Input Sheet'!J22</f>
        <v>0.15850384615384616</v>
      </c>
      <c r="X7" s="53">
        <f>'Input Sheet'!K22</f>
        <v>7.1007029702970265E-2</v>
      </c>
    </row>
    <row r="9" spans="16:24">
      <c r="Q9" s="1" t="s">
        <v>632</v>
      </c>
      <c r="S9" s="52" t="str">
        <f>IF(V10&lt;W10,"Yes","No")</f>
        <v>No</v>
      </c>
      <c r="T9" s="52" t="str">
        <f>IF(V10&lt;X10,"Yes","No")</f>
        <v>No</v>
      </c>
    </row>
    <row r="10" spans="16:24">
      <c r="Q10" s="3" t="s">
        <v>633</v>
      </c>
      <c r="V10" s="53">
        <f>'Valuation Output'!M12</f>
        <v>8.7999999999999995E-2</v>
      </c>
      <c r="W10" s="53">
        <f>'Input Sheet'!J27</f>
        <v>7.2926316901414823E-2</v>
      </c>
      <c r="X10" s="53">
        <f>'Input Sheet'!K27</f>
        <v>8.2166797901965696E-2</v>
      </c>
    </row>
    <row r="12" spans="16:24">
      <c r="P12" s="9" t="s">
        <v>634</v>
      </c>
    </row>
    <row r="14" spans="16:24">
      <c r="Q14" s="1" t="s">
        <v>635</v>
      </c>
      <c r="S14" s="52" t="str">
        <f>IF(V15&lt;W15,"Yes","No")</f>
        <v>Yes</v>
      </c>
      <c r="T14" s="52" t="str">
        <f>IF(V15&lt;X15,"Yes","No")</f>
        <v>Yes</v>
      </c>
    </row>
    <row r="15" spans="16:24">
      <c r="Q15" s="3" t="str">
        <f>'Input Sheet'!A25</f>
        <v>Sales to capital ratio  (for computing reinvestment) =</v>
      </c>
      <c r="V15" s="54">
        <f>'Input Sheet'!B25</f>
        <v>1.5</v>
      </c>
      <c r="W15" s="54">
        <f>'Input Sheet'!J24</f>
        <v>2.0704085648273138</v>
      </c>
      <c r="X15" s="54">
        <f>'Input Sheet'!K24</f>
        <v>1.9486920792014812</v>
      </c>
    </row>
    <row r="16" spans="16:24">
      <c r="P16" s="9" t="s">
        <v>638</v>
      </c>
    </row>
    <row r="17" spans="1:20">
      <c r="Q17" s="1" t="s">
        <v>636</v>
      </c>
      <c r="S17" s="52" t="str">
        <f>IF(V15&gt;W15,"Yes","No")</f>
        <v>No</v>
      </c>
      <c r="T17" s="52" t="str">
        <f>IF(V15&gt;X15,"Yes","No")</f>
        <v>No</v>
      </c>
    </row>
    <row r="18" spans="1:20">
      <c r="P18" s="9" t="s">
        <v>637</v>
      </c>
    </row>
    <row r="19" spans="1:20">
      <c r="P19" s="9" t="s">
        <v>648</v>
      </c>
    </row>
    <row r="20" spans="1:20">
      <c r="P20" s="9" t="s">
        <v>649</v>
      </c>
    </row>
    <row r="27" spans="1:20">
      <c r="A27" s="3" t="s">
        <v>618</v>
      </c>
      <c r="C27" s="55">
        <f>'Valuation Output'!M3</f>
        <v>3033.791466393272</v>
      </c>
      <c r="E27" s="9" t="s">
        <v>621</v>
      </c>
    </row>
    <row r="28" spans="1:20">
      <c r="A28" s="3" t="s">
        <v>619</v>
      </c>
      <c r="C28" s="53">
        <f>'Valuation Output'!M2</f>
        <v>4.2999999999999997E-2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0.13503145114742363</v>
      </c>
      <c r="C30" s="56">
        <f>('Valuation Output'!D7-'Valuation Output'!C7)/'Valuation Output'!C7</f>
        <v>0.13007148404202146</v>
      </c>
      <c r="D30" s="56">
        <f>('Valuation Output'!E7-'Valuation Output'!D7)/'Valuation Output'!D7</f>
        <v>0.11510655235805102</v>
      </c>
      <c r="E30" s="56">
        <f>('Valuation Output'!F7-'Valuation Output'!E7)/'Valuation Output'!E7</f>
        <v>0.11130524462563043</v>
      </c>
      <c r="F30" s="56">
        <f>('Valuation Output'!G7-'Valuation Output'!F7)/'Valuation Output'!F7</f>
        <v>0.10792333579654516</v>
      </c>
      <c r="G30" s="56">
        <f>('Valuation Output'!H7-'Valuation Output'!G7)/'Valuation Output'!G7</f>
        <v>0.1025310054343392</v>
      </c>
      <c r="H30" s="56">
        <f>('Valuation Output'!I7-'Valuation Output'!H7)/'Valuation Output'!H7</f>
        <v>9.8340375755259377E-2</v>
      </c>
      <c r="I30" s="56">
        <f>('Valuation Output'!J7-'Valuation Output'!I7)/'Valuation Output'!I7</f>
        <v>9.4413960664546354E-2</v>
      </c>
      <c r="J30" s="56">
        <f>('Valuation Output'!K7-'Valuation Output'!J7)/'Valuation Output'!J7</f>
        <v>9.0715938455552605E-2</v>
      </c>
      <c r="K30" s="56">
        <f>('Valuation Output'!L7-'Valuation Output'!K7)/'Valuation Output'!K7</f>
        <v>8.7216682963621908E-2</v>
      </c>
      <c r="L30" s="57">
        <f>('Valuation Output'!M7-'Valuation Output'!L7)/'Valuation Output'!L7</f>
        <v>4.3000000000000087E-2</v>
      </c>
      <c r="M30" s="58"/>
    </row>
    <row r="31" spans="1:20">
      <c r="A31" s="16" t="s">
        <v>622</v>
      </c>
      <c r="L31" s="17"/>
    </row>
    <row r="32" spans="1:20">
      <c r="A32" s="16"/>
      <c r="B32" s="53">
        <f>'Valuation Output'!C2</f>
        <v>0.06</v>
      </c>
      <c r="C32" s="53">
        <f>'Valuation Output'!D2</f>
        <v>0.06</v>
      </c>
      <c r="D32" s="53">
        <f>'Valuation Output'!E2</f>
        <v>0.05</v>
      </c>
      <c r="E32" s="53">
        <f>'Valuation Output'!F2</f>
        <v>0.05</v>
      </c>
      <c r="F32" s="53">
        <f>'Valuation Output'!G2</f>
        <v>0.05</v>
      </c>
      <c r="G32" s="53">
        <f>'Valuation Output'!H2</f>
        <v>4.8600000000000004E-2</v>
      </c>
      <c r="H32" s="53">
        <f>'Valuation Output'!I2</f>
        <v>4.7199999999999999E-2</v>
      </c>
      <c r="I32" s="53">
        <f>'Valuation Output'!J2</f>
        <v>4.58E-2</v>
      </c>
      <c r="J32" s="53">
        <f>'Valuation Output'!K2</f>
        <v>4.4399999999999995E-2</v>
      </c>
      <c r="K32" s="53">
        <f>'Valuation Output'!L2</f>
        <v>4.2999999999999997E-2</v>
      </c>
      <c r="L32" s="59">
        <f>'Valuation Output'!M2</f>
        <v>4.2999999999999997E-2</v>
      </c>
    </row>
    <row r="33" spans="1:12">
      <c r="A33" s="16" t="s">
        <v>624</v>
      </c>
      <c r="L33" s="17"/>
    </row>
    <row r="34" spans="1:12">
      <c r="A34" s="16"/>
      <c r="B34" s="53">
        <f>B30-B32</f>
        <v>7.5031451147423628E-2</v>
      </c>
      <c r="C34" s="53">
        <f t="shared" ref="C34:L34" si="0">C30-C32</f>
        <v>7.0071484042021459E-2</v>
      </c>
      <c r="D34" s="53">
        <f t="shared" si="0"/>
        <v>6.5106552358051017E-2</v>
      </c>
      <c r="E34" s="53">
        <f t="shared" si="0"/>
        <v>6.1305244625630431E-2</v>
      </c>
      <c r="F34" s="53">
        <f t="shared" si="0"/>
        <v>5.7923335796545156E-2</v>
      </c>
      <c r="G34" s="53">
        <f t="shared" si="0"/>
        <v>5.3931005434339194E-2</v>
      </c>
      <c r="H34" s="53">
        <f t="shared" si="0"/>
        <v>5.1140375755259378E-2</v>
      </c>
      <c r="I34" s="53">
        <f t="shared" si="0"/>
        <v>4.8613960664546353E-2</v>
      </c>
      <c r="J34" s="53">
        <f t="shared" si="0"/>
        <v>4.631593845555261E-2</v>
      </c>
      <c r="K34" s="53">
        <f t="shared" si="0"/>
        <v>4.4216682963621912E-2</v>
      </c>
      <c r="L34" s="59">
        <f t="shared" si="0"/>
        <v>9.0205620750793969E-17</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242</v>
      </c>
    </row>
    <row r="44" spans="1:12">
      <c r="I44" s="16" t="s">
        <v>653</v>
      </c>
      <c r="K44" s="92">
        <v>278</v>
      </c>
    </row>
    <row r="45" spans="1:12">
      <c r="A45" s="3" t="s">
        <v>639</v>
      </c>
      <c r="C45" s="55">
        <f>'Valuation Output'!B34</f>
        <v>178.45</v>
      </c>
      <c r="I45" s="16" t="s">
        <v>654</v>
      </c>
      <c r="K45" s="92">
        <v>225</v>
      </c>
    </row>
    <row r="46" spans="1:12">
      <c r="A46" s="3" t="s">
        <v>513</v>
      </c>
      <c r="C46" s="55">
        <f>'Valuation Output'!B33</f>
        <v>103.86056508867547</v>
      </c>
      <c r="I46" s="16" t="s">
        <v>655</v>
      </c>
      <c r="K46" s="62">
        <f>AVERAGE(K43:K45)</f>
        <v>248.33333333333334</v>
      </c>
    </row>
    <row r="47" spans="1:12">
      <c r="A47" s="3" t="s">
        <v>640</v>
      </c>
      <c r="C47" s="53">
        <f>'Cost of capital worksheet'!B48</f>
        <v>8.0657740626405794E-2</v>
      </c>
      <c r="I47" s="16"/>
      <c r="K47" s="17"/>
    </row>
    <row r="48" spans="1:12">
      <c r="A48" s="3" t="s">
        <v>641</v>
      </c>
      <c r="C48" s="53">
        <f>'Option value'!D6</f>
        <v>1.0500000000000001E-2</v>
      </c>
      <c r="I48" s="16" t="s">
        <v>656</v>
      </c>
      <c r="K48" s="92">
        <v>141</v>
      </c>
    </row>
    <row r="49" spans="1:11">
      <c r="A49" s="3" t="s">
        <v>642</v>
      </c>
      <c r="C49" s="53">
        <f>C47-C48</f>
        <v>7.0157740626405798E-2</v>
      </c>
      <c r="I49" s="16" t="s">
        <v>657</v>
      </c>
      <c r="K49" s="92">
        <v>142</v>
      </c>
    </row>
    <row r="50" spans="1:11">
      <c r="D50" s="3" t="s">
        <v>645</v>
      </c>
      <c r="E50" s="3" t="s">
        <v>646</v>
      </c>
      <c r="I50" s="16" t="s">
        <v>658</v>
      </c>
      <c r="K50" s="92">
        <v>144</v>
      </c>
    </row>
    <row r="51" spans="1:11">
      <c r="A51" s="3" t="s">
        <v>643</v>
      </c>
      <c r="C51" s="63">
        <f>C46*(1+(C47-C48))^1</f>
        <v>111.1471876754787</v>
      </c>
      <c r="D51" s="64">
        <f>(C51-$C$45)/$C$45</f>
        <v>-0.37715221252183406</v>
      </c>
      <c r="E51" s="53">
        <f>D51+C48</f>
        <v>-0.36665221252183405</v>
      </c>
      <c r="I51" s="16" t="s">
        <v>655</v>
      </c>
      <c r="K51" s="62">
        <f>AVERAGE(K48:K50)</f>
        <v>142.33333333333334</v>
      </c>
    </row>
    <row r="52" spans="1:11">
      <c r="A52" s="3" t="s">
        <v>644</v>
      </c>
      <c r="C52" s="63">
        <f>C46*(1+(C47-C48))^2</f>
        <v>118.9450232397694</v>
      </c>
      <c r="D52" s="64">
        <f>(C52-$C$45)/$C$45</f>
        <v>-0.33345461899821011</v>
      </c>
      <c r="E52" s="53">
        <f>D52+C48</f>
        <v>-0.3229546189982101</v>
      </c>
      <c r="I52" s="16"/>
      <c r="K52" s="17"/>
    </row>
    <row r="53" spans="1:11">
      <c r="I53" s="16" t="s">
        <v>659</v>
      </c>
      <c r="K53" s="62">
        <f>K46-K51</f>
        <v>106</v>
      </c>
    </row>
    <row r="54" spans="1:11">
      <c r="I54" s="16" t="s">
        <v>660</v>
      </c>
      <c r="K54" s="65">
        <f>K53/K51</f>
        <v>0.7447306791569086</v>
      </c>
    </row>
    <row r="55" spans="1:11">
      <c r="I55" s="16"/>
      <c r="K55" s="17"/>
    </row>
    <row r="56" spans="1:11">
      <c r="I56" s="16" t="s">
        <v>661</v>
      </c>
      <c r="K56" s="17"/>
    </row>
    <row r="57" spans="1:11">
      <c r="I57" s="66">
        <f>AVERAGE('Valuation Output'!K5:M5)</f>
        <v>689.25760987357637</v>
      </c>
      <c r="K57" s="17"/>
    </row>
    <row r="58" spans="1:11">
      <c r="I58" s="16" t="s">
        <v>659</v>
      </c>
      <c r="K58" s="67">
        <f>I57-K46</f>
        <v>440.924276540243</v>
      </c>
    </row>
    <row r="59" spans="1:11">
      <c r="I59" s="26" t="s">
        <v>660</v>
      </c>
      <c r="J59" s="27"/>
      <c r="K59" s="68">
        <f>K58/K46</f>
        <v>1.7755339994909114</v>
      </c>
    </row>
    <row r="100" spans="9:13">
      <c r="I100" s="147" t="s">
        <v>664</v>
      </c>
      <c r="J100" s="147"/>
      <c r="K100" s="147"/>
      <c r="L100" s="147"/>
      <c r="M100" s="147"/>
    </row>
    <row r="101" spans="9:13">
      <c r="J101" s="3" t="s">
        <v>665</v>
      </c>
      <c r="K101" s="3" t="s">
        <v>666</v>
      </c>
      <c r="M101" s="1" t="s">
        <v>663</v>
      </c>
    </row>
    <row r="102" spans="9:13">
      <c r="J102" s="69">
        <v>1689</v>
      </c>
      <c r="K102" s="69">
        <v>1620</v>
      </c>
      <c r="M102" s="3">
        <f>'TTM Calc'!E7</f>
        <v>93.6</v>
      </c>
    </row>
    <row r="103" spans="9:13">
      <c r="I103" s="3" t="s">
        <v>667</v>
      </c>
      <c r="J103" s="69">
        <v>13535</v>
      </c>
      <c r="K103" s="69">
        <v>13264</v>
      </c>
      <c r="M103" s="1" t="s">
        <v>671</v>
      </c>
    </row>
    <row r="104" spans="9:13">
      <c r="I104" s="3" t="s">
        <v>668</v>
      </c>
      <c r="J104" s="70">
        <f>J102+J103</f>
        <v>15224</v>
      </c>
      <c r="K104" s="70">
        <f>K102+K103</f>
        <v>14884</v>
      </c>
      <c r="M104" s="3">
        <f>'TTM Calc'!E4+'TTM Calc'!E7</f>
        <v>719.30000000000007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178.45</v>
      </c>
    </row>
    <row r="3" spans="1:6">
      <c r="A3" s="3" t="s">
        <v>386</v>
      </c>
      <c r="D3" s="71">
        <f>'Input Sheet'!B32</f>
        <v>82.6</v>
      </c>
    </row>
    <row r="4" spans="1:6">
      <c r="A4" s="3" t="s">
        <v>387</v>
      </c>
      <c r="D4" s="47">
        <f>'Input Sheet'!B33</f>
        <v>5.6</v>
      </c>
    </row>
    <row r="5" spans="1:6">
      <c r="A5" s="3" t="s">
        <v>388</v>
      </c>
      <c r="D5" s="21">
        <f>'Input Sheet'!B34</f>
        <v>0.184</v>
      </c>
    </row>
    <row r="6" spans="1:6">
      <c r="A6" s="3" t="s">
        <v>389</v>
      </c>
      <c r="D6" s="72">
        <v>1.0500000000000001E-2</v>
      </c>
    </row>
    <row r="7" spans="1:6">
      <c r="A7" s="3" t="s">
        <v>390</v>
      </c>
      <c r="D7" s="21">
        <f>'Input Sheet'!B27</f>
        <v>4.2999999999999997E-2</v>
      </c>
    </row>
    <row r="8" spans="1:6">
      <c r="A8" s="3" t="s">
        <v>391</v>
      </c>
      <c r="D8" s="23">
        <f>'Input Sheet'!B31</f>
        <v>3.6</v>
      </c>
    </row>
    <row r="9" spans="1:6">
      <c r="A9" s="3" t="s">
        <v>392</v>
      </c>
      <c r="D9" s="47">
        <f>'Input Sheet'!B18</f>
        <v>39.32</v>
      </c>
    </row>
    <row r="11" spans="1:6">
      <c r="A11" s="3" t="s">
        <v>393</v>
      </c>
    </row>
    <row r="12" spans="1:6">
      <c r="A12" s="3" t="s">
        <v>394</v>
      </c>
    </row>
    <row r="13" spans="1:6">
      <c r="A13" s="3" t="s">
        <v>395</v>
      </c>
      <c r="C13" s="29">
        <f>D2</f>
        <v>178.45</v>
      </c>
      <c r="D13" s="3" t="s">
        <v>406</v>
      </c>
      <c r="F13" s="23">
        <f>D8</f>
        <v>3.6</v>
      </c>
    </row>
    <row r="14" spans="1:6">
      <c r="A14" s="3" t="s">
        <v>396</v>
      </c>
      <c r="C14" s="71">
        <f>D3</f>
        <v>82.6</v>
      </c>
      <c r="D14" s="3" t="s">
        <v>407</v>
      </c>
      <c r="F14" s="47">
        <f>D9</f>
        <v>39.32</v>
      </c>
    </row>
    <row r="15" spans="1:6">
      <c r="A15" s="3" t="s">
        <v>397</v>
      </c>
      <c r="C15" s="47">
        <f ca="1">(C13*F14+C26*F13)/(F14+F13)</f>
        <v>171.63458462139118</v>
      </c>
      <c r="D15" s="3" t="s">
        <v>408</v>
      </c>
      <c r="F15" s="21">
        <f>D7</f>
        <v>4.2999999999999997E-2</v>
      </c>
    </row>
    <row r="16" spans="1:6">
      <c r="A16" s="3" t="s">
        <v>398</v>
      </c>
      <c r="C16" s="71">
        <f>C14</f>
        <v>82.6</v>
      </c>
      <c r="D16" s="3" t="s">
        <v>409</v>
      </c>
      <c r="F16" s="47">
        <f>D5^2</f>
        <v>3.3855999999999997E-2</v>
      </c>
    </row>
    <row r="17" spans="1:6">
      <c r="A17" s="3" t="s">
        <v>399</v>
      </c>
      <c r="C17" s="47">
        <f>D4</f>
        <v>5.6</v>
      </c>
      <c r="D17" s="3" t="s">
        <v>410</v>
      </c>
      <c r="F17" s="47">
        <f>D6</f>
        <v>1.0500000000000001E-2</v>
      </c>
    </row>
    <row r="18" spans="1:6">
      <c r="D18" s="3" t="s">
        <v>411</v>
      </c>
      <c r="F18" s="21">
        <f>F15-F17</f>
        <v>3.2499999999999994E-2</v>
      </c>
    </row>
    <row r="20" spans="1:6">
      <c r="A20" s="3" t="s">
        <v>400</v>
      </c>
      <c r="B20" s="47">
        <f ca="1">(LN(C15/C16)+(F18+(F16/2))*C17)/(((F16)^(0.5))*(C17^0.5))</f>
        <v>2.3153433221879554</v>
      </c>
    </row>
    <row r="21" spans="1:6">
      <c r="A21" s="3" t="s">
        <v>401</v>
      </c>
      <c r="B21" s="47">
        <f ca="1">NORMSDIST(B20)</f>
        <v>0.98970292467532239</v>
      </c>
    </row>
    <row r="23" spans="1:6">
      <c r="A23" s="3" t="s">
        <v>402</v>
      </c>
      <c r="B23" s="47">
        <f ca="1">B20-((F16^0.5)*(C17^(0.5)))</f>
        <v>1.8799198501518237</v>
      </c>
    </row>
    <row r="24" spans="1:6">
      <c r="A24" s="3" t="s">
        <v>403</v>
      </c>
      <c r="B24" s="47">
        <f ca="1">NORMSDIST(B23)</f>
        <v>0.96994049893081935</v>
      </c>
    </row>
    <row r="26" spans="1:6">
      <c r="A26" s="3" t="s">
        <v>404</v>
      </c>
      <c r="C26" s="47">
        <f ca="1">((EXP((0-F17)*C17))*C15*B21-C16*(EXP((0-F15)*C17))*B24)</f>
        <v>97.195103319475137</v>
      </c>
    </row>
    <row r="27" spans="1:6">
      <c r="A27" s="3" t="s">
        <v>405</v>
      </c>
      <c r="D27" s="47">
        <f ca="1">C26*D8</f>
        <v>349.90237195011048</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67.989999999999995</v>
      </c>
      <c r="G7" s="74" t="s">
        <v>432</v>
      </c>
    </row>
    <row r="8" spans="1:7">
      <c r="A8" s="3" t="s">
        <v>418</v>
      </c>
    </row>
    <row r="9" spans="1:7">
      <c r="A9" s="3" t="s">
        <v>419</v>
      </c>
    </row>
    <row r="10" spans="1:7">
      <c r="A10" s="1" t="s">
        <v>420</v>
      </c>
      <c r="B10" s="1" t="s">
        <v>435</v>
      </c>
    </row>
    <row r="11" spans="1:7">
      <c r="A11" s="1">
        <v>-1</v>
      </c>
      <c r="B11" s="90">
        <v>57</v>
      </c>
      <c r="C11" s="75" t="s">
        <v>433</v>
      </c>
    </row>
    <row r="12" spans="1:7">
      <c r="A12" s="1">
        <f t="shared" ref="A12:A20" si="0">IF((0-A11)&lt;$F$6,IF(A11&gt;-1,,A11-1),)</f>
        <v>-2</v>
      </c>
      <c r="B12" s="90">
        <v>57.79</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67.989999999999995</v>
      </c>
      <c r="C24" s="47">
        <f>1</f>
        <v>1</v>
      </c>
      <c r="D24" s="47">
        <f t="shared" ref="D24:D34" si="1">B24*C24</f>
        <v>67.989999999999995</v>
      </c>
    </row>
    <row r="25" spans="1:5">
      <c r="A25" s="1">
        <f t="shared" ref="A25:B34" si="2">A11</f>
        <v>-1</v>
      </c>
      <c r="B25" s="47">
        <f t="shared" si="2"/>
        <v>57</v>
      </c>
      <c r="C25" s="47">
        <f t="shared" ref="C25:C34" si="3">IF(A25&lt;0,($F$6+A25)/$F$6,0)</f>
        <v>0.5</v>
      </c>
      <c r="D25" s="47">
        <f t="shared" si="1"/>
        <v>28.5</v>
      </c>
      <c r="E25" s="47">
        <f t="shared" ref="E25:E34" si="4">IF(A25&lt;0,B25/$F$6,0)</f>
        <v>28.5</v>
      </c>
    </row>
    <row r="26" spans="1:5">
      <c r="A26" s="1">
        <f t="shared" si="2"/>
        <v>-2</v>
      </c>
      <c r="B26" s="47">
        <f t="shared" si="2"/>
        <v>57.79</v>
      </c>
      <c r="C26" s="47">
        <f t="shared" si="3"/>
        <v>0</v>
      </c>
      <c r="D26" s="47">
        <f t="shared" si="1"/>
        <v>0</v>
      </c>
      <c r="E26" s="47">
        <f t="shared" si="4"/>
        <v>28.895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96.49</v>
      </c>
      <c r="E35" s="47">
        <f>SUM(E25:E34)</f>
        <v>57.394999999999996</v>
      </c>
    </row>
    <row r="37" spans="1:5">
      <c r="A37" s="3" t="s">
        <v>424</v>
      </c>
      <c r="D37" s="47">
        <f>E35</f>
        <v>57.394999999999996</v>
      </c>
    </row>
    <row r="39" spans="1:5">
      <c r="A39" s="3" t="s">
        <v>425</v>
      </c>
      <c r="D39" s="47">
        <f>F7-D37</f>
        <v>10.594999999999999</v>
      </c>
      <c r="E39" s="3" t="s">
        <v>430</v>
      </c>
    </row>
    <row r="40" spans="1:5">
      <c r="A40" s="3" t="s">
        <v>426</v>
      </c>
      <c r="D40" s="47">
        <f>D39*'Input Sheet'!B21</f>
        <v>2.6487499999999997</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5.6599999999999998E-2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44.293015332197612</v>
      </c>
    </row>
    <row r="23" spans="1:7">
      <c r="A23" s="1">
        <f t="shared" si="0"/>
        <v>2</v>
      </c>
      <c r="B23" s="47">
        <f t="shared" si="0"/>
        <v>45.2</v>
      </c>
      <c r="C23" s="47">
        <f>B23/(1+$C$15)^A23</f>
        <v>40.487151438320389</v>
      </c>
    </row>
    <row r="24" spans="1:7">
      <c r="A24" s="1">
        <f t="shared" si="0"/>
        <v>3</v>
      </c>
      <c r="B24" s="47">
        <f t="shared" si="0"/>
        <v>39.5</v>
      </c>
      <c r="C24" s="47">
        <f>B24/(1+$C$15)^A24</f>
        <v>33.486154492319983</v>
      </c>
    </row>
    <row r="25" spans="1:7">
      <c r="A25" s="1">
        <f t="shared" si="0"/>
        <v>4</v>
      </c>
      <c r="B25" s="47">
        <f t="shared" si="0"/>
        <v>35.9</v>
      </c>
      <c r="C25" s="47">
        <f>B25/(1+$C$15)^A25</f>
        <v>28.803948328991421</v>
      </c>
    </row>
    <row r="26" spans="1:7">
      <c r="A26" s="1">
        <f t="shared" si="0"/>
        <v>5</v>
      </c>
      <c r="B26" s="47">
        <f t="shared" si="0"/>
        <v>34.700000000000003</v>
      </c>
      <c r="C26" s="47">
        <f>B26/(1+$C$15)^A26</f>
        <v>26.349746599198525</v>
      </c>
    </row>
    <row r="27" spans="1:7">
      <c r="A27" s="1" t="str">
        <f>A12</f>
        <v>6 and beyond</v>
      </c>
      <c r="B27" s="47">
        <f>IF(B12&gt;0,IF(D18&gt;0,B12/D18,B12),0)</f>
        <v>40.880000000000003</v>
      </c>
      <c r="C27" s="47">
        <f>IF(D18&gt;0,(B27*(1-(1+C15)^(-D18))/C15)/(1+$C$15)^5,B27/(1+C15)^6)</f>
        <v>131.98105766868113</v>
      </c>
      <c r="D27" s="3" t="s">
        <v>452</v>
      </c>
    </row>
    <row r="28" spans="1:7">
      <c r="A28" s="1" t="s">
        <v>442</v>
      </c>
      <c r="C28" s="47">
        <f>SUM(C22:C27)</f>
        <v>305.40107385970907</v>
      </c>
    </row>
    <row r="30" spans="1:7">
      <c r="A30" s="1" t="s">
        <v>443</v>
      </c>
    </row>
    <row r="31" spans="1:7">
      <c r="A31" s="3" t="s">
        <v>444</v>
      </c>
      <c r="F31" s="47">
        <f>C28/(5+D18)</f>
        <v>30.540107385970906</v>
      </c>
      <c r="G31" s="74" t="s">
        <v>455</v>
      </c>
    </row>
    <row r="32" spans="1:7">
      <c r="A32" s="3" t="s">
        <v>445</v>
      </c>
      <c r="F32" s="47">
        <f>E4-F31</f>
        <v>18.459892614029094</v>
      </c>
      <c r="G32" s="74" t="s">
        <v>456</v>
      </c>
    </row>
    <row r="33" spans="1:7">
      <c r="A33" s="3" t="s">
        <v>446</v>
      </c>
      <c r="F33" s="47">
        <f>C28</f>
        <v>305.40107385970907</v>
      </c>
      <c r="G33" s="74" t="s">
        <v>457</v>
      </c>
    </row>
    <row r="34" spans="1:7">
      <c r="A34" s="3" t="s">
        <v>447</v>
      </c>
      <c r="F34" s="47">
        <f>C28/(5+D18)</f>
        <v>30.540107385970906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workbookViewId="0">
      <selection activeCell="B37" sqref="B37"/>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4.4999999999999998E-2</v>
      </c>
      <c r="K3" s="21">
        <f t="shared" ref="K3:K13" si="0">IF(I3&gt;0,I3/$I$14,)</f>
        <v>0.90580448065173114</v>
      </c>
      <c r="L3" s="21">
        <f t="shared" ref="L3:L13" si="1">IF(K3=0,0,J3*K3)</f>
        <v>4.0761201629327899E-2</v>
      </c>
    </row>
    <row r="4" spans="1:12">
      <c r="A4" s="3" t="s">
        <v>462</v>
      </c>
      <c r="B4" s="47">
        <f>'Input Sheet'!B18</f>
        <v>39.32</v>
      </c>
      <c r="H4" s="90" t="s">
        <v>72</v>
      </c>
      <c r="I4" s="90">
        <v>279.5</v>
      </c>
      <c r="J4" s="21">
        <f>IF(I4=0,0,VLOOKUP(H4,'Country equity risk premiums'!$A$2:$D$152,4))</f>
        <v>4.4999999999999998E-2</v>
      </c>
      <c r="K4" s="21">
        <f t="shared" si="0"/>
        <v>6.4687094982410667E-2</v>
      </c>
      <c r="L4" s="21">
        <f t="shared" si="1"/>
        <v>2.9109192742084798E-3</v>
      </c>
    </row>
    <row r="5" spans="1:12">
      <c r="A5" s="3" t="s">
        <v>463</v>
      </c>
      <c r="B5" s="29">
        <f>'Input Sheet'!B19</f>
        <v>178.45</v>
      </c>
      <c r="H5" s="90" t="s">
        <v>192</v>
      </c>
      <c r="I5" s="90">
        <v>127.5</v>
      </c>
      <c r="J5" s="21">
        <f>IF(I5=0,0,VLOOKUP(H5,'Country equity risk premiums'!$A$2:$D$152,4))</f>
        <v>5.3766504142051808E-2</v>
      </c>
      <c r="K5" s="21">
        <f t="shared" si="0"/>
        <v>2.9508424365858172E-2</v>
      </c>
      <c r="L5" s="21">
        <f t="shared" si="1"/>
        <v>1.5865648208923358E-3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0.77554815342767547</v>
      </c>
      <c r="H9" s="90"/>
      <c r="I9" s="90"/>
      <c r="J9" s="21">
        <f>IF(I9=0,0,VLOOKUP(H9,'Country equity risk premiums'!$A$2:$D$152,4))</f>
        <v>0</v>
      </c>
      <c r="K9" s="21">
        <f t="shared" si="0"/>
        <v>0</v>
      </c>
      <c r="L9" s="21">
        <f t="shared" si="1"/>
        <v>0</v>
      </c>
    </row>
    <row r="10" spans="1:12">
      <c r="A10" s="3" t="s">
        <v>467</v>
      </c>
      <c r="B10" s="21">
        <f>'Input Sheet'!B27</f>
        <v>4.2999999999999997E-2</v>
      </c>
      <c r="H10" s="90"/>
      <c r="I10" s="90"/>
      <c r="J10" s="21">
        <f>IF(I10=0,0,VLOOKUP(H10,'Country equity risk premiums'!$A$2:$D$152,4))</f>
        <v>0</v>
      </c>
      <c r="K10" s="21">
        <f t="shared" si="0"/>
        <v>0</v>
      </c>
      <c r="L10" s="21">
        <f t="shared" si="1"/>
        <v>0</v>
      </c>
    </row>
    <row r="11" spans="1:12">
      <c r="A11" s="3" t="s">
        <v>468</v>
      </c>
      <c r="B11" s="90" t="s">
        <v>560</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4.5258685724428718E-2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4.5258685724428718E-2</v>
      </c>
    </row>
    <row r="15" spans="1:12">
      <c r="A15" s="3" t="s">
        <v>471</v>
      </c>
      <c r="H15" s="3" t="s">
        <v>506</v>
      </c>
    </row>
    <row r="16" spans="1:12">
      <c r="A16" s="3" t="s">
        <v>472</v>
      </c>
      <c r="B16" s="29">
        <f>'Input Sheet'!B12</f>
        <v>646.18999999999994</v>
      </c>
      <c r="H16" s="12" t="s">
        <v>36</v>
      </c>
      <c r="I16" s="13" t="s">
        <v>5</v>
      </c>
      <c r="J16" s="13" t="s">
        <v>510</v>
      </c>
      <c r="K16" s="13" t="s">
        <v>512</v>
      </c>
      <c r="L16" s="14" t="s">
        <v>514</v>
      </c>
    </row>
    <row r="17" spans="1:12">
      <c r="A17" s="3" t="s">
        <v>473</v>
      </c>
      <c r="B17" s="29">
        <f>'Input Sheet'!B10</f>
        <v>46.73</v>
      </c>
      <c r="H17" s="90" t="str">
        <f>'Country equity risk premiums'!A156</f>
        <v>Africa</v>
      </c>
      <c r="I17" s="90">
        <v>0</v>
      </c>
      <c r="J17" s="21">
        <f>'Country equity risk premiums'!B156</f>
        <v>0.13663852306889546</v>
      </c>
      <c r="K17" s="21">
        <f t="shared" ref="K17:K26" si="2">I17/$I$27</f>
        <v>0</v>
      </c>
      <c r="L17" s="21">
        <f t="shared" ref="L17:L26" si="3">J17*K17</f>
        <v>0</v>
      </c>
    </row>
    <row r="18" spans="1:12">
      <c r="A18" s="3" t="s">
        <v>474</v>
      </c>
      <c r="B18" s="90">
        <v>4</v>
      </c>
      <c r="H18" s="90" t="str">
        <f>'Country equity risk premiums'!A157</f>
        <v>Asia</v>
      </c>
      <c r="I18" s="90">
        <v>0</v>
      </c>
      <c r="J18" s="21">
        <f>'Country equity risk premiums'!B157</f>
        <v>6.1805405008578562E-2</v>
      </c>
      <c r="K18" s="21">
        <f t="shared" si="2"/>
        <v>0</v>
      </c>
      <c r="L18" s="21">
        <f t="shared" si="3"/>
        <v>0</v>
      </c>
    </row>
    <row r="19" spans="1:12">
      <c r="A19" s="3" t="s">
        <v>475</v>
      </c>
      <c r="B19" s="90" t="s">
        <v>499</v>
      </c>
      <c r="H19" s="90" t="str">
        <f>'Country equity risk premiums'!A158</f>
        <v>Australia &amp; New Zealand</v>
      </c>
      <c r="I19" s="90">
        <v>0</v>
      </c>
      <c r="J19" s="21">
        <f>'Country equity risk premiums'!B158</f>
        <v>4.5047923618641933E-2</v>
      </c>
      <c r="K19" s="21">
        <f t="shared" si="2"/>
        <v>0</v>
      </c>
      <c r="L19" s="21">
        <f t="shared" si="3"/>
        <v>0</v>
      </c>
    </row>
    <row r="20" spans="1:12">
      <c r="A20" s="3" t="s">
        <v>476</v>
      </c>
      <c r="B20" s="91">
        <v>3.5000000000000003E-2</v>
      </c>
      <c r="H20" s="90" t="str">
        <f>'Country equity risk premiums'!A159</f>
        <v>Caribbean</v>
      </c>
      <c r="I20" s="90">
        <v>0</v>
      </c>
      <c r="J20" s="21">
        <f>'Country equity risk premiums'!B159</f>
        <v>0.1865348819700155</v>
      </c>
      <c r="K20" s="21">
        <f t="shared" si="2"/>
        <v>0</v>
      </c>
      <c r="L20" s="21">
        <f t="shared" si="3"/>
        <v>0</v>
      </c>
    </row>
    <row r="21" spans="1:12">
      <c r="A21" s="3" t="s">
        <v>477</v>
      </c>
      <c r="B21" s="90" t="s">
        <v>500</v>
      </c>
      <c r="H21" s="90" t="str">
        <f>'Country equity risk premiums'!A160</f>
        <v>Central and South America</v>
      </c>
      <c r="I21" s="90">
        <v>0</v>
      </c>
      <c r="J21" s="21">
        <f>'Country equity risk premiums'!B160</f>
        <v>0.10261091058162494</v>
      </c>
      <c r="K21" s="21">
        <f t="shared" si="2"/>
        <v>0</v>
      </c>
      <c r="L21" s="21">
        <f t="shared" si="3"/>
        <v>0</v>
      </c>
    </row>
    <row r="22" spans="1:12">
      <c r="A22" s="3" t="s">
        <v>478</v>
      </c>
      <c r="B22" s="90">
        <v>1</v>
      </c>
      <c r="H22" s="90" t="str">
        <f>'Country equity risk premiums'!A161</f>
        <v>Eastern Europe &amp; Russia</v>
      </c>
      <c r="I22" s="90">
        <v>0</v>
      </c>
      <c r="J22" s="21">
        <f>'Country equity risk premiums'!B161</f>
        <v>9.5579383477192262E-2</v>
      </c>
      <c r="K22" s="21">
        <f t="shared" si="2"/>
        <v>0</v>
      </c>
      <c r="L22" s="21">
        <f t="shared" si="3"/>
        <v>0</v>
      </c>
    </row>
    <row r="23" spans="1:12">
      <c r="A23" s="3" t="s">
        <v>439</v>
      </c>
      <c r="B23" s="28">
        <f>IF(B19="Direct Input",B20,IF(B19="Synthetic Rating",'Synthetic rating'!D13,B10+VLOOKUP('Cost of capital worksheet'!B21,'Synthetic rating'!G39:H53,2)))</f>
        <v>5.6599999999999998E-2</v>
      </c>
      <c r="H23" s="90" t="str">
        <f>'Country equity risk premiums'!A162</f>
        <v>Middle East</v>
      </c>
      <c r="I23" s="90">
        <v>0</v>
      </c>
      <c r="J23" s="21">
        <f>'Country equity risk premiums'!B162</f>
        <v>6.6589990892489848E-2</v>
      </c>
      <c r="K23" s="21">
        <f t="shared" si="2"/>
        <v>0</v>
      </c>
      <c r="L23" s="21">
        <f t="shared" si="3"/>
        <v>0</v>
      </c>
    </row>
    <row r="24" spans="1:12">
      <c r="A24" s="3" t="s">
        <v>479</v>
      </c>
      <c r="B24" s="49">
        <f>'Input Sheet'!B21</f>
        <v>0.25</v>
      </c>
      <c r="H24" s="90" t="str">
        <f>'Country equity risk premiums'!A163</f>
        <v>North America</v>
      </c>
      <c r="I24" s="90">
        <v>68</v>
      </c>
      <c r="J24" s="21">
        <f>'Country equity risk premiums'!B163</f>
        <v>4.4999999999999998E-2</v>
      </c>
      <c r="K24" s="21">
        <f t="shared" si="2"/>
        <v>0.68</v>
      </c>
      <c r="L24" s="21">
        <f t="shared" si="3"/>
        <v>3.0600000000000002E-2</v>
      </c>
    </row>
    <row r="25" spans="1:12">
      <c r="H25" s="90" t="str">
        <f>'Country equity risk premiums'!A164</f>
        <v>Western Europe</v>
      </c>
      <c r="I25" s="90">
        <v>0</v>
      </c>
      <c r="J25" s="21">
        <f>'Country equity risk premiums'!B164</f>
        <v>5.7871606293643366E-2</v>
      </c>
      <c r="K25" s="21">
        <f t="shared" si="2"/>
        <v>0</v>
      </c>
      <c r="L25" s="21">
        <f t="shared" si="3"/>
        <v>0</v>
      </c>
    </row>
    <row r="26" spans="1:12">
      <c r="A26" s="3" t="s">
        <v>480</v>
      </c>
      <c r="B26" s="73">
        <v>0</v>
      </c>
      <c r="H26" s="90" t="s">
        <v>606</v>
      </c>
      <c r="I26" s="90">
        <v>32</v>
      </c>
      <c r="J26" s="21">
        <f>'Country equity risk premiums'!B165</f>
        <v>6.3100000000000003E-2</v>
      </c>
      <c r="K26" s="21">
        <f t="shared" si="2"/>
        <v>0.32</v>
      </c>
      <c r="L26" s="21">
        <f t="shared" si="3"/>
        <v>2.0192000000000002E-2</v>
      </c>
    </row>
    <row r="27" spans="1:12">
      <c r="A27" s="3" t="s">
        <v>481</v>
      </c>
      <c r="B27" s="73">
        <v>0</v>
      </c>
      <c r="H27" s="26" t="s">
        <v>505</v>
      </c>
      <c r="I27" s="47">
        <f>SUM(I17:I26)</f>
        <v>100</v>
      </c>
      <c r="J27" s="27"/>
      <c r="K27" s="21">
        <f>I27/$I$27</f>
        <v>1</v>
      </c>
      <c r="L27" s="50">
        <f>SUM(L17:L26)</f>
        <v>5.0792000000000004E-2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0.1</v>
      </c>
      <c r="H34" s="90"/>
      <c r="I34" s="90"/>
      <c r="J34" s="47">
        <f>IF(H34=0,,VLOOKUP(H34,'Industry Averages(US)'!$A$2:$S$96,15))</f>
        <v>0</v>
      </c>
      <c r="K34" s="47">
        <f t="shared" si="4"/>
        <v>0</v>
      </c>
      <c r="L34" s="47">
        <f>IF(J34=0,0,VLOOKUP(H34,'Industry Averages(US)'!$A$2:$S$96,7))</f>
        <v>0</v>
      </c>
    </row>
    <row r="35" spans="1:12">
      <c r="A35" s="3" t="s">
        <v>487</v>
      </c>
      <c r="B35" s="90">
        <v>50</v>
      </c>
      <c r="H35" s="90"/>
      <c r="I35" s="90"/>
      <c r="J35" s="47">
        <f>IF(H35=0,,VLOOKUP(H35,'Industry Averages(US)'!$A$2:$S$96,15))</f>
        <v>0</v>
      </c>
      <c r="K35" s="47">
        <f t="shared" si="4"/>
        <v>0</v>
      </c>
      <c r="L35" s="47">
        <f>IF(J35=0,0,VLOOKUP(H35,'Industry Averages(US)'!$A$2:$S$96,7))</f>
        <v>0</v>
      </c>
    </row>
    <row r="36" spans="1:12">
      <c r="A36" s="3" t="s">
        <v>488</v>
      </c>
      <c r="B36" s="90">
        <v>2.25</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681.65610075517554</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0.83205554963960771</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7016.6539999999995</v>
      </c>
      <c r="C46" s="47">
        <f>C39+C40+C41</f>
        <v>681.65610075517554</v>
      </c>
      <c r="D46" s="47">
        <f>B34*B35</f>
        <v>5</v>
      </c>
      <c r="E46" s="47">
        <f>SUM(B46:D46)</f>
        <v>7703.310100755175</v>
      </c>
      <c r="H46" s="12" t="s">
        <v>508</v>
      </c>
      <c r="I46" s="13" t="s">
        <v>5</v>
      </c>
      <c r="J46" s="13" t="s">
        <v>511</v>
      </c>
      <c r="K46" s="13" t="s">
        <v>513</v>
      </c>
      <c r="L46" s="14" t="s">
        <v>515</v>
      </c>
    </row>
    <row r="47" spans="1:12">
      <c r="A47" s="3" t="s">
        <v>495</v>
      </c>
      <c r="B47" s="28">
        <f>B46/$E$46</f>
        <v>0.91086220186204614</v>
      </c>
      <c r="C47" s="28">
        <f>C46/$E$46</f>
        <v>8.8488726513599791E-2</v>
      </c>
      <c r="D47" s="28">
        <f>D46/$E$46</f>
        <v>6.4907162435403416E-4</v>
      </c>
      <c r="E47" s="28">
        <f>SUM(B47:D47)</f>
        <v>0.99999999999999989</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8.0657740626405794E-2</v>
      </c>
      <c r="C48" s="28">
        <f>B23*(1-B24)</f>
        <v>4.2450000000000002E-2</v>
      </c>
      <c r="D48" s="28">
        <f>B36/B35</f>
        <v>4.4999999999999998E-2</v>
      </c>
      <c r="E48" s="77">
        <f>B47*B48+C47*C48+D47*D48</f>
        <v>7.7253641887784039E-2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240.62</v>
      </c>
      <c r="G5" s="74" t="s">
        <v>553</v>
      </c>
    </row>
    <row r="6" spans="1:7">
      <c r="A6" s="3" t="s">
        <v>521</v>
      </c>
      <c r="F6" s="47">
        <f>IF('Input Sheet'!B14="Yes",'Cost of capital worksheet'!B17+'Operating lease converter'!C28*'Operating lease converter'!C15,'Cost of capital worksheet'!B17)</f>
        <v>46.73</v>
      </c>
      <c r="G6" s="74" t="s">
        <v>554</v>
      </c>
    </row>
    <row r="7" spans="1:7">
      <c r="A7" s="3" t="s">
        <v>522</v>
      </c>
      <c r="F7" s="21">
        <f>'Input Sheet'!B27</f>
        <v>4.2999999999999997E-2</v>
      </c>
    </row>
    <row r="8" spans="1:7">
      <c r="A8" s="3" t="s">
        <v>421</v>
      </c>
    </row>
    <row r="9" spans="1:7">
      <c r="A9" s="3" t="s">
        <v>523</v>
      </c>
      <c r="D9" s="47">
        <f>IF(F6=0,1000000,IF(F5&lt;0,-100000,F5/F6))</f>
        <v>5.1491547185961917</v>
      </c>
    </row>
    <row r="10" spans="1:7">
      <c r="A10" s="3" t="s">
        <v>524</v>
      </c>
      <c r="D10" s="47" t="str">
        <f>IF(C4=1,VLOOKUP(D9,A19:D33,3),(IF(C4=2,VLOOKUP(D9,A38:D52,3),VLOOKUP(D9,F19:I33,3))))</f>
        <v>A2/A</v>
      </c>
      <c r="F10" s="3" t="s">
        <v>551</v>
      </c>
    </row>
    <row r="11" spans="1:7">
      <c r="A11" s="3" t="s">
        <v>525</v>
      </c>
      <c r="D11" s="47">
        <f>IF(C4=1,VLOOKUP(D9,A19:D33,4),(IF(C4=2,VLOOKUP(D9,A38:D52,4),VLOOKUP(D9,F19:I33,4))))</f>
        <v>1.3599999999999999E-2</v>
      </c>
      <c r="F11" s="3" t="s">
        <v>552</v>
      </c>
    </row>
    <row r="12" spans="1:7">
      <c r="A12" s="3" t="s">
        <v>526</v>
      </c>
      <c r="D12" s="47">
        <f>VLOOKUP('Input Sheet'!B5,'Country equity risk premiums'!A2:C153,3)</f>
        <v>0</v>
      </c>
    </row>
    <row r="13" spans="1:7">
      <c r="A13" s="3" t="s">
        <v>527</v>
      </c>
      <c r="D13" s="21">
        <f>F7+D11+D12</f>
        <v>5.6599999999999998E-2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2024-02-20T22:06:14Z</dcterms:modified>
</cp:coreProperties>
</file>