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ark\Documents\1Work\1equity research - company folders\HUBB\"/>
    </mc:Choice>
  </mc:AlternateContent>
  <xr:revisionPtr revIDLastSave="0" documentId="13_ncr:1_{AC27914A-EBA0-449D-8C5D-F35EE4AC4D7A}" xr6:coauthVersionLast="47" xr6:coauthVersionMax="47" xr10:uidLastSave="{00000000-0000-0000-0000-000000000000}"/>
  <bookViews>
    <workbookView xWindow="-120" yWindow="-120" windowWidth="29040" windowHeight="15720"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F16" i="1"/>
  <c r="C15" i="1"/>
  <c r="B15" i="1"/>
  <c r="C12" i="1"/>
  <c r="B12" i="1"/>
  <c r="C9" i="1"/>
  <c r="B9"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D9" i="12" s="1"/>
  <c r="B5" i="6"/>
  <c r="B4" i="6" s="1"/>
  <c r="B25" i="6"/>
  <c r="B39" i="6"/>
  <c r="C39" i="6" s="1"/>
  <c r="D39" i="6" s="1"/>
  <c r="E39" i="6" s="1"/>
  <c r="F39" i="6" s="1"/>
  <c r="G39" i="6" s="1"/>
  <c r="H39" i="6" s="1"/>
  <c r="I39" i="6" s="1"/>
  <c r="J39" i="6" s="1"/>
  <c r="K39" i="6" s="1"/>
  <c r="L39" i="6" s="1"/>
  <c r="D10" i="12" l="1"/>
  <c r="D11" i="12"/>
  <c r="D13" i="12" s="1"/>
  <c r="B23" i="10" s="1"/>
  <c r="C48" i="10" s="1"/>
  <c r="H4" i="6"/>
  <c r="H5" i="6" s="1"/>
  <c r="D4" i="6"/>
  <c r="D5" i="6" s="1"/>
  <c r="L4" i="6"/>
  <c r="C4" i="6"/>
  <c r="C5" i="6" s="1"/>
  <c r="I4" i="6"/>
  <c r="I5" i="6" s="1"/>
  <c r="J4" i="6"/>
  <c r="J5" i="6" s="1"/>
  <c r="G4" i="6"/>
  <c r="G5" i="6" s="1"/>
  <c r="E4" i="6"/>
  <c r="E5" i="6" s="1"/>
  <c r="K4" i="6"/>
  <c r="K5" i="6" s="1"/>
  <c r="I23" i="1"/>
  <c r="F4" i="6"/>
  <c r="F5" i="6" s="1"/>
  <c r="B7" i="6"/>
  <c r="B40" i="6" s="1"/>
  <c r="C40" i="10" l="1"/>
  <c r="C42" i="10" s="1"/>
  <c r="C15" i="9"/>
  <c r="C25" i="9" s="1"/>
  <c r="C39" i="10"/>
  <c r="C22" i="9"/>
  <c r="C23" i="9"/>
  <c r="C24" i="9"/>
  <c r="C26" i="9"/>
  <c r="C7" i="6"/>
  <c r="C10" i="6"/>
  <c r="D10" i="6" s="1"/>
  <c r="E10" i="6" s="1"/>
  <c r="I57" i="17"/>
  <c r="K58" i="17" s="1"/>
  <c r="K59" i="17" s="1"/>
  <c r="L5" i="6"/>
  <c r="M4" i="6"/>
  <c r="M5" i="6" s="1"/>
  <c r="C46" i="10"/>
  <c r="C27" i="9" l="1"/>
  <c r="C28" i="9" s="1"/>
  <c r="D7" i="6"/>
  <c r="F7" i="6"/>
  <c r="F10" i="6"/>
  <c r="E7" i="6"/>
  <c r="C40" i="6"/>
  <c r="B30" i="17"/>
  <c r="B34" i="17" s="1"/>
  <c r="C9" i="6"/>
  <c r="C43" i="10"/>
  <c r="B48" i="10" s="1"/>
  <c r="C47" i="17" s="1"/>
  <c r="C49" i="17" s="1"/>
  <c r="E46" i="10"/>
  <c r="C47" i="10" s="1"/>
  <c r="I31" i="1"/>
  <c r="N5" i="6"/>
  <c r="M7" i="6"/>
  <c r="C30" i="17"/>
  <c r="C34" i="17" s="1"/>
  <c r="D40" i="6"/>
  <c r="D9" i="6"/>
  <c r="F31" i="9" l="1"/>
  <c r="F32" i="9" s="1"/>
  <c r="F34" i="9"/>
  <c r="F33" i="9"/>
  <c r="B47" i="10"/>
  <c r="D47" i="10"/>
  <c r="G10" i="6"/>
  <c r="G7" i="6"/>
  <c r="D30" i="17"/>
  <c r="D34" i="17" s="1"/>
  <c r="E40" i="6"/>
  <c r="E9" i="6"/>
  <c r="F9" i="6"/>
  <c r="E30" i="17"/>
  <c r="E34" i="17" s="1"/>
  <c r="F40" i="6"/>
  <c r="F30" i="17" l="1"/>
  <c r="F34" i="17" s="1"/>
  <c r="G40" i="6"/>
  <c r="G9" i="6"/>
  <c r="H7" i="6"/>
  <c r="H10" i="6"/>
  <c r="E47" i="10"/>
  <c r="E48" i="10"/>
  <c r="B28" i="1" s="1"/>
  <c r="G30" i="17" l="1"/>
  <c r="G34" i="17" s="1"/>
  <c r="H40" i="6"/>
  <c r="H9" i="6"/>
  <c r="I7" i="6"/>
  <c r="I10" i="6"/>
  <c r="J42" i="1"/>
  <c r="C12" i="6"/>
  <c r="L42" i="1"/>
  <c r="P42" i="1"/>
  <c r="J10" i="6" l="1"/>
  <c r="J7" i="6"/>
  <c r="I40" i="6"/>
  <c r="H30" i="17"/>
  <c r="H34" i="17" s="1"/>
  <c r="I9" i="6"/>
  <c r="D12" i="6"/>
  <c r="E12" i="6" s="1"/>
  <c r="F12" i="6" s="1"/>
  <c r="G12" i="6" s="1"/>
  <c r="H12" i="6" s="1"/>
  <c r="I12" i="6" s="1"/>
  <c r="J12" i="6" s="1"/>
  <c r="K12" i="6" s="1"/>
  <c r="L12" i="6" s="1"/>
  <c r="M40" i="6" s="1"/>
  <c r="M8" i="6" s="1"/>
  <c r="C13" i="6"/>
  <c r="N8" i="6" l="1"/>
  <c r="M9" i="6"/>
  <c r="B16" i="6" s="1"/>
  <c r="B18" i="6" s="1"/>
  <c r="D13" i="6"/>
  <c r="C14" i="6"/>
  <c r="I30" i="17"/>
  <c r="I34" i="17" s="1"/>
  <c r="J40" i="6"/>
  <c r="J9" i="6"/>
  <c r="K7" i="6"/>
  <c r="K10" i="6"/>
  <c r="E13" i="6" l="1"/>
  <c r="D14" i="6"/>
  <c r="L10" i="6"/>
  <c r="M10" i="6" s="1"/>
  <c r="L7" i="6"/>
  <c r="K40" i="6"/>
  <c r="K9" i="6"/>
  <c r="J30" i="17"/>
  <c r="J34" i="17" s="1"/>
  <c r="L9" i="6" l="1"/>
  <c r="L40" i="6"/>
  <c r="I32" i="1" s="1"/>
  <c r="K30" i="17"/>
  <c r="K34" i="17" s="1"/>
  <c r="L30" i="17"/>
  <c r="L34" i="17" s="1"/>
  <c r="F13" i="6"/>
  <c r="E14" i="6"/>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<sst xmlns="http://schemas.openxmlformats.org/spreadsheetml/2006/main" count="1489" uniqueCount="676">
  <si>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</si>
  <si>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</si>
  <si>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</si>
  <si>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</si>
  <si>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</si>
  <si>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</si>
  <si>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</si>
  <si>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</si>
  <si>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</si>
  <si>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</si>
  <si>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</si>
  <si>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</si>
  <si>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</si>
  <si>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</si>
  <si>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</si>
  <si>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</si>
  <si>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</si>
  <si>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</si>
  <si>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</si>
  <si>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</si>
  <si>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</si>
  <si>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</si>
  <si>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</si>
  <si>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</si>
  <si>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</si>
  <si>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</si>
  <si>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</si>
  <si>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</si>
  <si>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</si>
  <si>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</si>
  <si>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</si>
  <si>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</si>
  <si>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</si>
  <si>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</si>
  <si>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</si>
  <si>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</si>
  <si>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</si>
  <si>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</si>
  <si>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</si>
  <si>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</si>
  <si>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</si>
  <si>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</si>
  <si>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</si>
  <si>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</si>
  <si>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</si>
  <si>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</si>
  <si>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</si>
  <si>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</si>
  <si>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</si>
  <si>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</si>
  <si>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</si>
  <si>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</si>
  <si>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</si>
  <si>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</si>
  <si>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</si>
  <si>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</si>
  <si>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</si>
  <si>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</si>
  <si>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</si>
  <si>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</si>
  <si>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</si>
  <si>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</si>
  <si>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</si>
  <si>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</si>
  <si>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</si>
  <si>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</si>
  <si>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</si>
  <si>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</si>
  <si>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</si>
  <si>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</si>
  <si>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</si>
  <si>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</si>
  <si>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</si>
  <si>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</si>
  <si>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</si>
  <si>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</si>
  <si>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</si>
  <si>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</si>
  <si>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</si>
  <si>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</si>
  <si>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</si>
  <si>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</si>
  <si>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</si>
  <si>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</si>
  <si>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</si>
  <si>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</si>
  <si>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</si>
  <si>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</si>
  <si>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</si>
  <si>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</si>
  <si>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</si>
  <si>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</si>
  <si>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</si>
  <si>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</si>
  <si>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</si>
  <si>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</si>
  <si>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</si>
  <si>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</si>
  <si>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</si>
  <si>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</si>
  <si>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</si>
  <si>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</si>
  <si>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</si>
  <si>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</si>
  <si>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</si>
  <si>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</si>
  <si>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</si>
  <si>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</si>
  <si>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</si>
  <si>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</si>
  <si>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</si>
  <si>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</si>
  <si>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</si>
  <si>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</si>
  <si>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</si>
  <si>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</si>
  <si>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</si>
  <si>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</si>
  <si>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</si>
  <si>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</si>
  <si>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</si>
  <si>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</si>
  <si>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</si>
  <si>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</si>
  <si>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</si>
  <si>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</si>
  <si>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</si>
  <si>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</si>
  <si>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</si>
  <si>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</si>
  <si>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</si>
  <si>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</si>
  <si>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</si>
  <si>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</si>
  <si>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</si>
  <si>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</si>
  <si>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</si>
  <si>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</si>
  <si>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</si>
  <si>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</si>
  <si>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</si>
  <si>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</si>
  <si>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</si>
  <si>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</si>
  <si>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</si>
  <si>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</si>
  <si>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</si>
  <si>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</si>
  <si>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</si>
  <si>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</si>
  <si>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</si>
  <si>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</si>
  <si>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</si>
  <si>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</si>
  <si>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</si>
  <si>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</si>
  <si>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</si>
  <si>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</si>
  <si>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</si>
  <si>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</si>
  <si>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</si>
  <si>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</si>
  <si>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</si>
  <si>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</si>
  <si>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</si>
  <si>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</si>
  <si>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</si>
  <si>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</si>
  <si>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</si>
  <si>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</si>
  <si>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</si>
  <si>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</si>
  <si>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</si>
  <si>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</si>
  <si>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</si>
  <si>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</si>
  <si>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</si>
  <si>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</si>
  <si>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</si>
  <si>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</si>
  <si>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</si>
  <si>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</si>
  <si>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</si>
  <si>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</si>
  <si>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</si>
  <si>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</si>
  <si>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</si>
  <si>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</si>
  <si>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</si>
  <si>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</si>
  <si>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</si>
  <si>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</si>
  <si>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</si>
  <si>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</si>
  <si>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</si>
  <si>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</si>
  <si>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</si>
  <si>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</si>
  <si>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</si>
  <si>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</si>
  <si>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</si>
  <si>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</si>
  <si>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</si>
  <si>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</si>
  <si>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</si>
  <si>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</si>
  <si>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</si>
  <si>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</si>
  <si>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</si>
  <si>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</si>
  <si>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</si>
  <si>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</si>
  <si>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</si>
  <si>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</si>
  <si>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</si>
  <si>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</si>
  <si>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</si>
  <si>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</si>
  <si>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</si>
  <si>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</si>
  <si>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</si>
  <si>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</si>
  <si>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</si>
  <si>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</si>
  <si>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</si>
  <si>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</si>
  <si>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</si>
  <si>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</si>
  <si>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</si>
  <si>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</si>
  <si>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</si>
  <si>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</si>
  <si>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</si>
  <si>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</si>
  <si>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</si>
  <si>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</si>
  <si>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</si>
  <si>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</si>
  <si>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</si>
  <si>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</si>
  <si>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</si>
  <si>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</si>
  <si>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</si>
  <si>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</si>
  <si>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</si>
  <si>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</si>
  <si>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</si>
  <si>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</si>
  <si>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</si>
  <si>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</si>
  <si>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</si>
  <si>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</si>
  <si>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</si>
  <si>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</si>
  <si>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</si>
  <si>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</si>
  <si>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</si>
  <si>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</si>
  <si>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</si>
  <si>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</si>
  <si>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</si>
  <si>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</si>
  <si>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</si>
  <si>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</si>
  <si>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</si>
  <si>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</si>
  <si>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</si>
  <si>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</si>
  <si>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</si>
  <si>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</si>
  <si>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</si>
  <si>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</si>
  <si>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</si>
  <si>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</si>
  <si>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</si>
  <si>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</si>
  <si>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</si>
  <si>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</si>
  <si>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</si>
  <si>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</si>
  <si>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</si>
  <si>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</si>
  <si>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</si>
  <si>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</si>
  <si>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</si>
  <si>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</si>
  <si>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</si>
  <si>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</si>
  <si>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</si>
  <si>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</si>
  <si>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</si>
  <si>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</si>
  <si>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</si>
  <si>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</si>
  <si>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</si>
  <si>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</si>
  <si>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</si>
  <si>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</si>
  <si>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</si>
  <si>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</si>
  <si>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</si>
  <si>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</si>
  <si>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</si>
  <si>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</si>
  <si>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</si>
  <si>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</si>
  <si>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</si>
  <si>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</si>
  <si>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</si>
  <si>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</si>
  <si>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</si>
  <si>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</si>
  <si>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</si>
  <si>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</si>
  <si>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</si>
  <si>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</si>
  <si>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</si>
  <si>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</si>
  <si>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</si>
  <si>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</si>
  <si>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</si>
  <si>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</si>
  <si>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</si>
  <si>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</si>
  <si>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</si>
  <si>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</si>
  <si>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</si>
  <si>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</si>
  <si>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</si>
  <si>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</si>
  <si>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</si>
  <si>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</si>
  <si>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</si>
  <si>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</si>
  <si>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</si>
  <si>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</si>
  <si>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</si>
  <si>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</si>
  <si>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</si>
  <si>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</si>
  <si>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</si>
  <si>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</si>
  <si>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</si>
  <si>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</si>
  <si>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</si>
  <si>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</si>
  <si>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</si>
  <si>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</si>
  <si>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</si>
  <si>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</si>
  <si>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</si>
  <si>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</si>
  <si>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</si>
  <si>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</si>
  <si>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</si>
  <si>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</si>
  <si>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</si>
  <si>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</si>
  <si>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</si>
  <si>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</si>
  <si>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</si>
  <si>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</si>
  <si>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</si>
  <si>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</si>
  <si>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</si>
  <si>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</si>
  <si>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</si>
  <si>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</si>
  <si>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</si>
  <si>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</si>
  <si>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</si>
  <si>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</si>
  <si>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</si>
  <si>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</si>
  <si>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</si>
  <si>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</si>
  <si>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</si>
  <si>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</si>
  <si>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</si>
  <si>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</si>
  <si>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</si>
  <si>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</si>
  <si>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</si>
  <si>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</si>
  <si>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</si>
  <si>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</si>
  <si>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</si>
  <si>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</si>
  <si>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</si>
  <si>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</si>
  <si>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</si>
  <si>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</si>
  <si>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</si>
  <si>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</si>
  <si>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</si>
  <si>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</si>
  <si>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</si>
  <si>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</si>
  <si>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</si>
  <si>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</si>
  <si>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</si>
  <si>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</si>
  <si>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</si>
  <si>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</si>
  <si>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</si>
  <si>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</si>
  <si>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</si>
  <si>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</si>
  <si>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</si>
  <si>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</si>
  <si>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</si>
  <si>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</si>
  <si>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</si>
  <si>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</si>
  <si>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</si>
  <si>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</si>
  <si>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</si>
  <si>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</si>
  <si>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</si>
  <si>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</si>
  <si>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</si>
  <si>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</si>
  <si>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</si>
  <si>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</si>
  <si>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</si>
  <si>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</si>
  <si>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</si>
  <si>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</si>
  <si>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</si>
  <si>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</si>
  <si>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</si>
  <si>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</si>
  <si>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</si>
  <si>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</si>
  <si>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</si>
  <si>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</si>
  <si>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</si>
  <si>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</si>
  <si>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</si>
  <si>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</si>
  <si>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</si>
  <si>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</si>
  <si>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</si>
  <si>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</si>
  <si>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</si>
  <si>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</si>
  <si>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</si>
  <si>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</si>
  <si>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</si>
  <si>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</si>
  <si>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</si>
  <si>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</si>
  <si>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</si>
  <si>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</si>
  <si>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</si>
  <si>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</si>
  <si>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</si>
  <si>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</si>
  <si>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</si>
  <si>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</si>
  <si>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</si>
  <si>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</si>
  <si>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</si>
  <si>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</si>
  <si>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</si>
  <si>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</si>
  <si>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</si>
  <si>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</si>
  <si>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</si>
  <si>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</si>
  <si>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</si>
  <si>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</si>
  <si>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</si>
  <si>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</si>
  <si>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</si>
  <si>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</si>
  <si>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</si>
  <si>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</si>
  <si>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</si>
  <si>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</si>
  <si>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</si>
  <si>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</si>
  <si>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</si>
  <si>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</si>
  <si>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</si>
  <si>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</si>
  <si>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</si>
  <si>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</si>
  <si>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</si>
  <si>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</si>
  <si>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</si>
  <si>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</si>
  <si>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</si>
  <si>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</si>
  <si>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</si>
  <si>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</si>
  <si>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</si>
  <si>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</si>
  <si>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</si>
  <si>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</si>
  <si>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</si>
  <si>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</si>
  <si>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</si>
  <si>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</si>
  <si>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</si>
  <si>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</si>
  <si>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</si>
  <si>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</si>
  <si>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</si>
  <si>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</si>
  <si>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</si>
  <si>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</si>
  <si>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</si>
  <si>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</si>
  <si>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</si>
  <si>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</si>
  <si>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</si>
  <si>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</si>
  <si>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</si>
  <si>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</si>
  <si>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</si>
  <si>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</si>
  <si>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</si>
  <si>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</si>
  <si>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</si>
  <si>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</si>
  <si>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</si>
  <si>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</si>
  <si>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</si>
  <si>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</si>
  <si>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</si>
  <si>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</si>
  <si>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</si>
  <si>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</si>
  <si>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</si>
  <si>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</si>
  <si>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</si>
  <si>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</si>
  <si>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</si>
  <si>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</si>
  <si>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</si>
  <si>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</si>
  <si>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</si>
  <si>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</si>
  <si>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</si>
  <si>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</si>
  <si>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</si>
  <si>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</si>
  <si>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</si>
  <si>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</si>
  <si>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</si>
  <si>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</si>
  <si>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</si>
  <si>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</si>
  <si>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</si>
  <si>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</si>
  <si>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</si>
  <si>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</si>
  <si>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</si>
  <si>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</si>
  <si>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</si>
  <si>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</si>
  <si>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</si>
  <si>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</si>
  <si>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</si>
  <si>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</si>
  <si>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</si>
  <si>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</si>
  <si>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</si>
  <si>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</si>
  <si>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</si>
  <si>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</si>
  <si>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</si>
  <si>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</si>
  <si>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</si>
  <si>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</si>
  <si>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</si>
  <si>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</si>
  <si>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</si>
  <si>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</si>
  <si>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</si>
  <si>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</si>
  <si>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</si>
  <si>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</si>
  <si>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</si>
  <si>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</si>
  <si>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</si>
  <si>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</si>
  <si>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</si>
  <si>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</si>
  <si>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</si>
  <si>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</si>
  <si>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</si>
  <si>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</si>
  <si>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</si>
  <si>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</si>
  <si>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</si>
  <si>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</si>
  <si>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</si>
  <si>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</si>
  <si>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</si>
  <si>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</si>
  <si>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</si>
  <si>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</si>
  <si>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</si>
  <si>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</si>
  <si>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</si>
  <si>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</si>
  <si>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</si>
  <si>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</si>
  <si>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</si>
  <si>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</si>
  <si>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</si>
  <si>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</si>
  <si>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</si>
  <si>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</si>
  <si>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</si>
  <si>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</si>
  <si>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</si>
  <si>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</si>
  <si>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</si>
  <si>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</si>
  <si>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</si>
  <si>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</si>
  <si>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</si>
  <si>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</si>
  <si>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</si>
  <si>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</si>
  <si>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</si>
  <si>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</si>
  <si>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</si>
  <si>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</si>
  <si>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</si>
  <si>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</si>
  <si>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</si>
  <si>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</si>
  <si>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</si>
  <si>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</si>
  <si>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</si>
  <si>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</si>
  <si>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</si>
  <si>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</si>
  <si>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</si>
  <si>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</si>
  <si>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</si>
  <si>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</si>
  <si>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</si>
  <si>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</si>
  <si>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</si>
  <si>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</si>
  <si>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</si>
  <si>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</si>
  <si>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</si>
  <si>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</si>
  <si>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</si>
  <si>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</si>
  <si>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</si>
  <si>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</si>
  <si>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</si>
  <si>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</si>
  <si>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</si>
  <si>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</si>
  <si>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</si>
  <si>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</si>
  <si>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</si>
  <si>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</si>
  <si>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</si>
  <si>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</si>
  <si>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</si>
  <si>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</si>
  <si>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</si>
  <si>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</si>
  <si>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</si>
  <si>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</si>
  <si>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</si>
  <si>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Hubbell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</si>
</sst>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2">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s>
  <borders count="19">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s>
  <cellStyleXfs count="27">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cellStyleXfs>
  <cellXfs count="137">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cellXfs>
  <cellStyles count="27">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topLeftCell="A6" workbookViewId="0">
      <selection activeCell="B43" sqref="B43"/>
    </sheetView>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5" width="9.140625" style="3"/>
    <col min="6" max="6" width="9.85546875" style="3" bestFit="1" customWidth="1"/>
    <col min="7"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45317</v>
      </c>
      <c r="H1" s="114" t="s">
        <v>673</v>
      </c>
      <c r="I1" s="114"/>
      <c r="J1" s="114"/>
    </row>
    <row r="2" spans="1:10" ht="15.75">
      <c r="A2" s="4" t="s">
        <v>1</v>
      </c>
      <c r="B2" s="5" t="s">
        <v>675</v>
      </c>
      <c r="H2" s="115"/>
      <c r="I2" s="115"/>
      <c r="J2" s="118"/>
    </row>
    <row r="3" spans="1:10">
      <c r="A3" s="3" t="s">
        <v>32</v>
      </c>
      <c r="H3" s="116"/>
      <c r="I3" s="116"/>
      <c r="J3" s="118"/>
    </row>
    <row r="4" spans="1:10">
      <c r="B4" s="1" t="s">
        <v>33</v>
      </c>
      <c r="C4" s="1" t="s">
        <v>34</v>
      </c>
      <c r="H4" s="117"/>
      <c r="I4" s="117"/>
      <c r="J4" s="118"/>
    </row>
    <row r="5" spans="1:10">
      <c r="A5" s="3" t="s">
        <v>2</v>
      </c>
      <c r="B5" s="6" t="s">
        <v>193</v>
      </c>
    </row>
    <row r="6" spans="1:10">
      <c r="A6" s="3" t="s">
        <v>3</v>
      </c>
      <c r="B6" s="6" t="s">
        <v>225</v>
      </c>
    </row>
    <row r="7" spans="1:10">
      <c r="A7" s="3" t="s">
        <v>4</v>
      </c>
      <c r="B7" s="6" t="s">
        <v>225</v>
      </c>
      <c r="D7" s="3" t="s">
        <v>293</v>
      </c>
    </row>
    <row r="8" spans="1:10">
      <c r="A8" s="3" t="s">
        <v>5</v>
      </c>
      <c r="B8" s="7">
        <v>5246.7</v>
      </c>
      <c r="C8" s="7">
        <v>4947.8999999999996</v>
      </c>
      <c r="D8" s="8">
        <v>0.75</v>
      </c>
    </row>
    <row r="9" spans="1:10">
      <c r="A9" s="3" t="s">
        <v>6</v>
      </c>
      <c r="B9" s="7">
        <f>984.9+77.2</f>
        <v>1062.0999999999999</v>
      </c>
      <c r="C9" s="7">
        <f>709.1+78.6</f>
        <v>787.7</v>
      </c>
      <c r="D9" s="8">
        <v>0.75</v>
      </c>
    </row>
    <row r="10" spans="1:10">
      <c r="A10" s="3" t="s">
        <v>7</v>
      </c>
      <c r="B10" s="7">
        <v>38.4</v>
      </c>
      <c r="C10" s="7">
        <v>49.6</v>
      </c>
    </row>
    <row r="11" spans="1:10">
      <c r="A11" s="3" t="s">
        <v>8</v>
      </c>
      <c r="B11" s="7">
        <v>2750.5</v>
      </c>
      <c r="C11" s="7">
        <v>2370.6</v>
      </c>
    </row>
    <row r="12" spans="1:10">
      <c r="A12" s="3" t="s">
        <v>9</v>
      </c>
      <c r="B12" s="7">
        <f>3.3+1439.7+30.3+107.6</f>
        <v>1580.8999999999999</v>
      </c>
      <c r="C12" s="7">
        <f>4.7+1437.9+30.5+84.9</f>
        <v>1558.0000000000002</v>
      </c>
    </row>
    <row r="13" spans="1:10">
      <c r="A13" s="3" t="s">
        <v>10</v>
      </c>
      <c r="B13" s="8" t="s">
        <v>295</v>
      </c>
      <c r="C13" s="9" t="s">
        <v>296</v>
      </c>
    </row>
    <row r="14" spans="1:10">
      <c r="A14" s="3" t="s">
        <v>11</v>
      </c>
      <c r="B14" s="8" t="s">
        <v>295</v>
      </c>
      <c r="C14" s="9" t="s">
        <v>297</v>
      </c>
    </row>
    <row r="15" spans="1:10">
      <c r="A15" s="3" t="s">
        <v>12</v>
      </c>
      <c r="B15" s="7">
        <f>572.8+17.9</f>
        <v>590.69999999999993</v>
      </c>
      <c r="C15" s="7">
        <f>440.5+14.3</f>
        <v>454.8</v>
      </c>
      <c r="F15" s="3" t="s">
        <v>669</v>
      </c>
    </row>
    <row r="16" spans="1:10">
      <c r="A16" s="3" t="s">
        <v>13</v>
      </c>
      <c r="B16" s="7">
        <v>0</v>
      </c>
      <c r="C16" s="7">
        <v>0</v>
      </c>
      <c r="F16" s="10">
        <f>144.7+14.3</f>
        <v>159</v>
      </c>
    </row>
    <row r="17" spans="1:11">
      <c r="A17" s="3" t="s">
        <v>14</v>
      </c>
      <c r="B17" s="7">
        <v>11.4</v>
      </c>
      <c r="C17" s="7">
        <v>9.6999999999999993</v>
      </c>
    </row>
    <row r="18" spans="1:11">
      <c r="A18" s="3" t="s">
        <v>15</v>
      </c>
      <c r="B18" s="11">
        <v>53.62</v>
      </c>
    </row>
    <row r="19" spans="1:11">
      <c r="A19" s="3" t="s">
        <v>16</v>
      </c>
      <c r="B19" s="7">
        <v>331.24</v>
      </c>
      <c r="E19" s="12" t="s">
        <v>331</v>
      </c>
      <c r="F19" s="13"/>
      <c r="G19" s="13"/>
      <c r="H19" s="13"/>
      <c r="I19" s="13"/>
      <c r="J19" s="13"/>
      <c r="K19" s="14"/>
    </row>
    <row r="20" spans="1:11">
      <c r="A20" s="3" t="s">
        <v>17</v>
      </c>
      <c r="B20" s="15">
        <f>180.2/773.8</f>
        <v>0.23287671232876711</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8.1318811430191484E-2</v>
      </c>
      <c r="J22" s="21">
        <f>VLOOKUP(B6,'Industry Averages(US)'!A2:S96,3)</f>
        <v>0.14907829787234042</v>
      </c>
      <c r="K22" s="21">
        <f>VLOOKUP(B7,'Global industry averages'!A2:N96,3)</f>
        <v>0.1064847262247839</v>
      </c>
    </row>
    <row r="23" spans="1:11">
      <c r="A23" s="3" t="s">
        <v>20</v>
      </c>
      <c r="B23" s="22">
        <v>0.09</v>
      </c>
      <c r="C23" s="15">
        <v>0.06</v>
      </c>
      <c r="D23" s="9" t="s">
        <v>298</v>
      </c>
      <c r="E23" s="16" t="s">
        <v>334</v>
      </c>
      <c r="I23" s="21">
        <f>'Valuation Output'!B4</f>
        <v>0.20243200487925742</v>
      </c>
      <c r="J23" s="21">
        <f>VLOOKUP(B6,'Industry Averages(US)'!A2:S96,4)</f>
        <v>9.2191420803998156E-2</v>
      </c>
      <c r="K23" s="21">
        <f>VLOOKUP(B7,'Global industry averages'!A2:N96,4)</f>
        <v>7.165867201753312E-2</v>
      </c>
    </row>
    <row r="24" spans="1:11">
      <c r="A24" s="3" t="s">
        <v>21</v>
      </c>
      <c r="B24" s="15">
        <v>0.22</v>
      </c>
      <c r="D24" s="9" t="s">
        <v>299</v>
      </c>
      <c r="E24" s="16" t="s">
        <v>335</v>
      </c>
      <c r="I24" s="23">
        <f>B8/(B11+B12-B15)</f>
        <v>1.4025984441414709</v>
      </c>
      <c r="J24" s="23">
        <f>VLOOKUP(B6,'Industry Averages(US)'!A2:S97,14)</f>
        <v>1.4659763013390332</v>
      </c>
      <c r="K24" s="23">
        <f>VLOOKUP(B7,'Global industry averages'!A2:N96,14)</f>
        <v>1.6654991268788271</v>
      </c>
    </row>
    <row r="25" spans="1:11">
      <c r="A25" s="3" t="s">
        <v>22</v>
      </c>
      <c r="B25" s="24">
        <v>1.5</v>
      </c>
      <c r="C25" s="25">
        <v>2</v>
      </c>
      <c r="D25" s="9" t="s">
        <v>300</v>
      </c>
      <c r="E25" s="16" t="s">
        <v>336</v>
      </c>
      <c r="I25" s="21">
        <f>B9*(1-B20)/(C11+C12-C15-C16+C17)</f>
        <v>0.23389167326987692</v>
      </c>
      <c r="J25" s="21">
        <f>VLOOKUP(B6,'Industry Averages(US)'!A2:S97,5)</f>
        <v>0.13265964322266596</v>
      </c>
      <c r="K25" s="21">
        <f>VLOOKUP(B7,'Global industry averages'!A2:N96,5)</f>
        <v>0.10900312865728087</v>
      </c>
    </row>
    <row r="26" spans="1:11">
      <c r="A26" s="1" t="s">
        <v>23</v>
      </c>
      <c r="E26" s="16" t="s">
        <v>337</v>
      </c>
      <c r="I26" s="16"/>
      <c r="J26" s="21">
        <f>VLOOKUP(B6,'Industry Averages(US)'!A2:S97,10)</f>
        <v>0.54423898938240323</v>
      </c>
      <c r="K26" s="21">
        <f>VLOOKUP(B6,'Global industry averages'!A2:Z96,10)</f>
        <v>0.35113385118094476</v>
      </c>
    </row>
    <row r="27" spans="1:11">
      <c r="A27" s="3" t="s">
        <v>24</v>
      </c>
      <c r="B27" s="15">
        <v>4.1399999999999999E-2</v>
      </c>
      <c r="E27" s="26" t="s">
        <v>338</v>
      </c>
      <c r="F27" s="27"/>
      <c r="G27" s="27"/>
      <c r="H27" s="27"/>
      <c r="I27" s="26"/>
      <c r="J27" s="21">
        <f>VLOOKUP(B6,'Industry Averages(US)'!A2:S96,13)</f>
        <v>8.6066369218673763E-2</v>
      </c>
      <c r="K27" s="21">
        <f>VLOOKUP(B6,'Global industry averages'!A2:Z96,13)</f>
        <v>0.10179248713393692</v>
      </c>
    </row>
    <row r="28" spans="1:11">
      <c r="A28" s="3" t="s">
        <v>25</v>
      </c>
      <c r="B28" s="28">
        <f>'Cost of capital worksheet'!E48</f>
        <v>7.5329046708143332E-2</v>
      </c>
      <c r="C28" s="9" t="s">
        <v>301</v>
      </c>
    </row>
    <row r="29" spans="1:11">
      <c r="A29" s="1" t="s">
        <v>26</v>
      </c>
      <c r="D29" s="12" t="s">
        <v>342</v>
      </c>
      <c r="E29" s="13"/>
      <c r="F29" s="13"/>
      <c r="G29" s="13"/>
      <c r="H29" s="13"/>
      <c r="I29" s="14"/>
    </row>
    <row r="30" spans="1:11">
      <c r="A30" s="3" t="s">
        <v>27</v>
      </c>
      <c r="B30" s="8" t="s">
        <v>295</v>
      </c>
      <c r="D30" s="16" t="s">
        <v>343</v>
      </c>
      <c r="I30" s="29">
        <f>'Valuation Output'!M3</f>
        <v>9812.8077388915935</v>
      </c>
    </row>
    <row r="31" spans="1:11">
      <c r="A31" s="3" t="s">
        <v>28</v>
      </c>
      <c r="B31" s="24">
        <v>3.6</v>
      </c>
      <c r="D31" s="16" t="s">
        <v>344</v>
      </c>
      <c r="I31" s="30">
        <f>'Valuation Output'!M5</f>
        <v>2158.8177025561504</v>
      </c>
    </row>
    <row r="32" spans="1:11">
      <c r="A32" s="3" t="s">
        <v>29</v>
      </c>
      <c r="B32" s="31">
        <v>82.6</v>
      </c>
      <c r="D32" s="16" t="s">
        <v>345</v>
      </c>
      <c r="I32" s="28">
        <f>'Valuation Output'!L40</f>
        <v>0.25941899298161886</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0.10139999999999999</v>
      </c>
      <c r="K39" s="36">
        <f>B27+4%</f>
        <v>8.14E-2</v>
      </c>
    </row>
    <row r="40" spans="1:18">
      <c r="A40" s="3" t="s">
        <v>306</v>
      </c>
      <c r="P40" s="119" t="s">
        <v>617</v>
      </c>
      <c r="Q40" s="120"/>
      <c r="R40" s="121"/>
    </row>
    <row r="41" spans="1:18">
      <c r="A41" s="3" t="s">
        <v>304</v>
      </c>
      <c r="B41" s="8" t="s">
        <v>294</v>
      </c>
      <c r="C41" s="9" t="s">
        <v>323</v>
      </c>
      <c r="J41" s="125" t="s">
        <v>612</v>
      </c>
      <c r="K41" s="126"/>
      <c r="L41" s="126" t="s">
        <v>613</v>
      </c>
      <c r="M41" s="126"/>
      <c r="N41" s="127"/>
      <c r="P41" s="26" t="s">
        <v>614</v>
      </c>
      <c r="Q41" s="27" t="s">
        <v>615</v>
      </c>
      <c r="R41" s="32" t="s">
        <v>616</v>
      </c>
    </row>
    <row r="42" spans="1:18">
      <c r="A42" s="3" t="s">
        <v>307</v>
      </c>
      <c r="B42" s="15">
        <v>0.1114</v>
      </c>
      <c r="C42" s="9" t="s">
        <v>324</v>
      </c>
      <c r="J42" s="128">
        <f>B28+5%</f>
        <v>0.12532904670814332</v>
      </c>
      <c r="K42" s="129"/>
      <c r="L42" s="129">
        <f>B28+2.5%</f>
        <v>0.10032904670814333</v>
      </c>
      <c r="M42" s="129"/>
      <c r="N42" s="130"/>
      <c r="O42" s="3" t="s">
        <v>626</v>
      </c>
      <c r="P42" s="37">
        <f>B28+5%</f>
        <v>0.12532904670814332</v>
      </c>
      <c r="Q42" s="38">
        <f>J39+5%</f>
        <v>0.15139999999999998</v>
      </c>
      <c r="R42" s="39">
        <f>K39+5%</f>
        <v>0.13140000000000002</v>
      </c>
    </row>
    <row r="43" spans="1:18">
      <c r="A43" s="3" t="s">
        <v>308</v>
      </c>
      <c r="J43" s="122">
        <f>'Valuation Output'!M12+5%</f>
        <v>0.13640000000000002</v>
      </c>
      <c r="K43" s="123"/>
      <c r="L43" s="123">
        <f>'Valuation Output'!M12+2.5%</f>
        <v>0.1114</v>
      </c>
      <c r="M43" s="123"/>
      <c r="N43" s="124"/>
      <c r="O43" s="3" t="s">
        <v>627</v>
      </c>
      <c r="P43" s="40">
        <f>'Valuation Output'!M12+5%</f>
        <v>0.13640000000000002</v>
      </c>
      <c r="Q43" s="41">
        <f>J39+5%</f>
        <v>0.15139999999999998</v>
      </c>
      <c r="R43" s="42">
        <f>K39+5%</f>
        <v>0.13140000000000002</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2">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election sqref="A1:XFD1048576"/>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9.9625007945445515E-2</v>
      </c>
      <c r="E2" s="53">
        <v>0.31515111490453068</v>
      </c>
      <c r="F2" s="53">
        <v>5.438041996417136E-2</v>
      </c>
      <c r="G2" s="54">
        <v>1.0950269701150073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-1.911835966362643E-2</v>
      </c>
      <c r="V2" s="53">
        <v>-1.6886086216883787E-2</v>
      </c>
      <c r="W2" s="53">
        <v>-9.9340600189793196E-3</v>
      </c>
      <c r="X2" s="53">
        <v>3.2541006196152036E-2</v>
      </c>
      <c r="Y2" s="53">
        <v>2.828444643801165</v>
      </c>
      <c r="Z2" s="53">
        <v>0.64600000000000002</v>
      </c>
    </row>
    <row r="3" spans="1:26">
      <c r="A3" s="3" t="s">
        <v>200</v>
      </c>
      <c r="B3" s="3">
        <v>70</v>
      </c>
      <c r="C3" s="53">
        <v>7.5882564102564082E-2</v>
      </c>
      <c r="D3" s="53">
        <v>8.5557881411237047E-2</v>
      </c>
      <c r="E3" s="53">
        <v>0.16167717664340658</v>
      </c>
      <c r="F3" s="53">
        <v>7.2752939084211404E-2</v>
      </c>
      <c r="G3" s="54">
        <v>0.90383431567954964</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-1.3339522457738126E-2</v>
      </c>
      <c r="V3" s="53">
        <v>2.282923210385782E-2</v>
      </c>
      <c r="W3" s="53">
        <v>0.39247743028218712</v>
      </c>
      <c r="X3" s="53">
        <v>0.13191483651952815</v>
      </c>
      <c r="Y3" s="53">
        <v>0.53694697197206931</v>
      </c>
      <c r="Z3" s="53">
        <v>0.35320000000000001</v>
      </c>
    </row>
    <row r="4" spans="1:26">
      <c r="A4" s="3" t="s">
        <v>201</v>
      </c>
      <c r="B4" s="3">
        <v>25</v>
      </c>
      <c r="C4" s="53">
        <v>2.9028333333333337E-2</v>
      </c>
      <c r="D4" s="53">
        <v>6.6905980099315324E-2</v>
      </c>
      <c r="E4" s="53">
        <v>0.1092325173386668</v>
      </c>
      <c r="F4" s="53">
        <v>8.6210396664610348E-2</v>
      </c>
      <c r="G4" s="54">
        <v>0.57164468964105219</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1.7990003600578661E-2</v>
      </c>
      <c r="V4" s="53">
        <v>6.7202754627620362E-2</v>
      </c>
      <c r="W4" s="53">
        <v>1.1858967293486484</v>
      </c>
      <c r="X4" s="53">
        <v>0.219363538879951</v>
      </c>
      <c r="Y4" s="53">
        <v>7.8632719088479394E-2</v>
      </c>
      <c r="Z4" s="53">
        <v>6.7799999999999999E-2</v>
      </c>
    </row>
    <row r="5" spans="1:26">
      <c r="A5" s="3" t="s">
        <v>202</v>
      </c>
      <c r="B5" s="3">
        <v>38</v>
      </c>
      <c r="C5" s="53">
        <v>5.7186000000000001E-2</v>
      </c>
      <c r="D5" s="53">
        <v>9.6028834349078301E-2</v>
      </c>
      <c r="E5" s="53">
        <v>0.15293487788906657</v>
      </c>
      <c r="F5" s="53">
        <v>0.10192862402659153</v>
      </c>
      <c r="G5" s="54">
        <v>0.87477746967929237</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1.5531388063582379E-3</v>
      </c>
      <c r="V5" s="53">
        <v>5.3650838666078442E-3</v>
      </c>
      <c r="W5" s="53">
        <v>-7.2858762711417155E-2</v>
      </c>
      <c r="X5" s="53">
        <v>9.204171598277805E-2</v>
      </c>
      <c r="Y5" s="53">
        <v>0.74982998278991408</v>
      </c>
      <c r="Z5" s="53">
        <v>0.3458</v>
      </c>
    </row>
    <row r="6" spans="1:26">
      <c r="A6" s="3" t="s">
        <v>203</v>
      </c>
      <c r="B6" s="3">
        <v>34</v>
      </c>
      <c r="C6" s="53">
        <v>0.21942111111111109</v>
      </c>
      <c r="D6" s="53">
        <v>4.8872226502177721E-2</v>
      </c>
      <c r="E6" s="53">
        <v>5.1866325086608607E-2</v>
      </c>
      <c r="F6" s="53">
        <v>3.1169075211201127E-2</v>
      </c>
      <c r="G6" s="54">
        <v>1.2350491404565327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4.6115116875564834E-2</v>
      </c>
      <c r="V6" s="53">
        <v>2.6576673289955756E-2</v>
      </c>
      <c r="W6" s="53">
        <v>0.81471031512595593</v>
      </c>
      <c r="X6" s="53">
        <v>9.3709081086337465E-2</v>
      </c>
      <c r="Y6" s="53">
        <v>0.35459224927693617</v>
      </c>
      <c r="Z6" s="53">
        <v>0.45179999999999998</v>
      </c>
    </row>
    <row r="7" spans="1:26">
      <c r="A7" s="3" t="s">
        <v>204</v>
      </c>
      <c r="B7" s="3">
        <v>39</v>
      </c>
      <c r="C7" s="53">
        <v>6.2846956521739161E-2</v>
      </c>
      <c r="D7" s="53">
        <v>5.3789507038604453E-2</v>
      </c>
      <c r="E7" s="53">
        <v>0.10156047044070848</v>
      </c>
      <c r="F7" s="53">
        <v>0.14615612198755554</v>
      </c>
      <c r="G7" s="54">
        <v>1.0435695401867646</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2.087451364490318E-2</v>
      </c>
      <c r="V7" s="53">
        <v>3.1693603646353471E-2</v>
      </c>
      <c r="W7" s="53">
        <v>0.95183324795159374</v>
      </c>
      <c r="X7" s="53">
        <v>5.7236136729090913E-2</v>
      </c>
      <c r="Y7" s="53">
        <v>0.4536555295436519</v>
      </c>
      <c r="Z7" s="53">
        <v>0.18140000000000001</v>
      </c>
    </row>
    <row r="8" spans="1:26">
      <c r="A8" s="3" t="s">
        <v>205</v>
      </c>
      <c r="B8" s="3">
        <v>15</v>
      </c>
      <c r="C8" s="53">
        <v>7.2753846153846155E-2</v>
      </c>
      <c r="D8" s="53">
        <v>8.1200893217945561E-4</v>
      </c>
      <c r="E8" s="53">
        <v>1.7809965864835952E-4</v>
      </c>
      <c r="F8" s="53">
        <v>0.1768572683971302</v>
      </c>
      <c r="G8" s="54">
        <v>0.40491745289066799</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1.0567244136700984E-2</v>
      </c>
      <c r="V8" s="53">
        <v>1.2953142452475423E-2</v>
      </c>
      <c r="W8" s="3">
        <v>55.728776313853096</v>
      </c>
      <c r="X8" s="53">
        <v>0.14874034732315899</v>
      </c>
      <c r="Y8" s="53">
        <v>0.24337970298838549</v>
      </c>
      <c r="Z8" s="53">
        <v>0.21279999999999999</v>
      </c>
    </row>
    <row r="9" spans="1:26">
      <c r="A9" s="3" t="s">
        <v>206</v>
      </c>
      <c r="B9" s="3">
        <v>625</v>
      </c>
      <c r="C9" s="53">
        <v>9.2156242299794702E-2</v>
      </c>
      <c r="D9" s="53">
        <v>-1.7660881241903206E-3</v>
      </c>
      <c r="E9" s="53">
        <v>-5.3374958145126011E-4</v>
      </c>
      <c r="F9" s="53">
        <v>0.17694013741619696</v>
      </c>
      <c r="G9" s="54">
        <v>0.26133928703325032</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2.0083498513917483E-2</v>
      </c>
      <c r="V9" s="53">
        <v>-0.10087904726752299</v>
      </c>
      <c r="W9" s="3" t="s">
        <v>584</v>
      </c>
      <c r="X9" s="53">
        <v>0.12142592116953591</v>
      </c>
      <c r="Y9" s="53">
        <v>0.32014617865318346</v>
      </c>
      <c r="Z9" s="53">
        <v>0.27689999999999998</v>
      </c>
    </row>
    <row r="10" spans="1:26">
      <c r="A10" s="3" t="s">
        <v>207</v>
      </c>
      <c r="B10" s="3">
        <v>19</v>
      </c>
      <c r="C10" s="53">
        <v>0.12062222222222224</v>
      </c>
      <c r="D10" s="53">
        <v>0.20751043151831927</v>
      </c>
      <c r="E10" s="53">
        <v>0.16670846804136458</v>
      </c>
      <c r="F10" s="53">
        <v>0.10420025692940119</v>
      </c>
      <c r="G10" s="54">
        <v>0.95635660943926404</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4.4906602485042947E-2</v>
      </c>
      <c r="V10" s="53">
        <v>9.390305849002889E-2</v>
      </c>
      <c r="W10" s="53">
        <v>0.90812968595804455</v>
      </c>
      <c r="X10" s="53">
        <v>8.69908980857384E-2</v>
      </c>
      <c r="Y10" s="53">
        <v>0.54634665208152333</v>
      </c>
      <c r="Z10" s="53">
        <v>0.30959999999999999</v>
      </c>
    </row>
    <row r="11" spans="1:26">
      <c r="A11" s="3" t="s">
        <v>208</v>
      </c>
      <c r="B11" s="3">
        <v>29</v>
      </c>
      <c r="C11" s="53">
        <v>0.28579076923076918</v>
      </c>
      <c r="D11" s="53">
        <v>0.19392744260680844</v>
      </c>
      <c r="E11" s="53">
        <v>0.3065163030779624</v>
      </c>
      <c r="F11" s="53">
        <v>6.675054463698489E-2</v>
      </c>
      <c r="G11" s="54">
        <v>0.67720463555625598</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7.4061711823084256E-2</v>
      </c>
      <c r="V11" s="53">
        <v>2.386992815326883E-2</v>
      </c>
      <c r="W11" s="53">
        <v>0.25676455571759477</v>
      </c>
      <c r="X11" s="53">
        <v>0.30557353679830446</v>
      </c>
      <c r="Y11" s="53">
        <v>0.6638966866591276</v>
      </c>
      <c r="Z11" s="53">
        <v>0.83530000000000004</v>
      </c>
    </row>
    <row r="12" spans="1:26">
      <c r="A12" s="3" t="s">
        <v>209</v>
      </c>
      <c r="B12" s="3">
        <v>22</v>
      </c>
      <c r="C12" s="53">
        <v>5.4847058823529415E-2</v>
      </c>
      <c r="D12" s="53">
        <v>0.1173118396963372</v>
      </c>
      <c r="E12" s="53">
        <v>0.12063888924002568</v>
      </c>
      <c r="F12" s="53">
        <v>7.8549043141772593E-2</v>
      </c>
      <c r="G12" s="54">
        <v>0.45670163170099376</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-1.0518597030448126E-2</v>
      </c>
      <c r="V12" s="53">
        <v>-2.0612152442738167E-2</v>
      </c>
      <c r="W12" s="53">
        <v>2.1143668601085928</v>
      </c>
      <c r="X12" s="53">
        <v>-2.1565149058570276E-2</v>
      </c>
      <c r="Y12" s="53">
        <v>2.1958759739129407E-3</v>
      </c>
      <c r="Z12" s="53">
        <v>0.20399999999999999</v>
      </c>
    </row>
    <row r="13" spans="1:26">
      <c r="A13" s="3" t="s">
        <v>210</v>
      </c>
      <c r="B13" s="3">
        <v>27</v>
      </c>
      <c r="C13" s="53">
        <v>0.12787473684210526</v>
      </c>
      <c r="D13" s="53">
        <v>6.6235178889569139E-3</v>
      </c>
      <c r="E13" s="53">
        <v>1.307446941021954E-3</v>
      </c>
      <c r="F13" s="53">
        <v>0.16840414602423662</v>
      </c>
      <c r="G13" s="54">
        <v>0.41563644610229206</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2.7448227056769928E-2</v>
      </c>
      <c r="V13" s="53">
        <v>1.6766162791348155E-2</v>
      </c>
      <c r="W13" s="53">
        <v>56.433655889964861</v>
      </c>
      <c r="X13" s="53">
        <v>0.10413110832014963</v>
      </c>
      <c r="Y13" s="53">
        <v>0.4352511082051424</v>
      </c>
      <c r="Z13" s="53">
        <v>0.252</v>
      </c>
    </row>
    <row r="14" spans="1:26">
      <c r="A14" s="3" t="s">
        <v>211</v>
      </c>
      <c r="B14" s="3">
        <v>44</v>
      </c>
      <c r="C14" s="53">
        <v>6.4077647058823517E-2</v>
      </c>
      <c r="D14" s="53">
        <v>0.13699109649917485</v>
      </c>
      <c r="E14" s="53">
        <v>0.25267057444947799</v>
      </c>
      <c r="F14" s="53">
        <v>0.19935747379008123</v>
      </c>
      <c r="G14" s="54">
        <v>1.1599138231370081</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4.5278882463038071E-3</v>
      </c>
      <c r="V14" s="53">
        <v>2.4513125773923429E-2</v>
      </c>
      <c r="W14" s="53">
        <v>-7.6166544925225102E-3</v>
      </c>
      <c r="X14" s="53">
        <v>0.21354650605206582</v>
      </c>
      <c r="Y14" s="53">
        <v>0.29019405797616848</v>
      </c>
      <c r="Z14" s="53">
        <v>0.24879999999999999</v>
      </c>
    </row>
    <row r="15" spans="1:26">
      <c r="A15" s="3" t="s">
        <v>212</v>
      </c>
      <c r="B15" s="3">
        <v>162</v>
      </c>
      <c r="C15" s="53">
        <v>6.6924269662921379E-2</v>
      </c>
      <c r="D15" s="53">
        <v>0.11270924431242947</v>
      </c>
      <c r="E15" s="53">
        <v>0.27452359974428153</v>
      </c>
      <c r="F15" s="53">
        <v>0.10838486587183108</v>
      </c>
      <c r="G15" s="54">
        <v>0.90089162028765546</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3.4450903020820478E-3</v>
      </c>
      <c r="V15" s="53">
        <v>1.6940121240038436E-2</v>
      </c>
      <c r="W15" s="53">
        <v>0.25446821033167139</v>
      </c>
      <c r="X15" s="53">
        <v>0.1399754737551486</v>
      </c>
      <c r="Y15" s="53">
        <v>0.59783007780719277</v>
      </c>
      <c r="Z15" s="53">
        <v>0.42409999999999998</v>
      </c>
    </row>
    <row r="16" spans="1:26">
      <c r="A16" s="3" t="s">
        <v>213</v>
      </c>
      <c r="B16" s="3">
        <v>10</v>
      </c>
      <c r="C16" s="53">
        <v>0.16231666666666669</v>
      </c>
      <c r="D16" s="53">
        <v>0.19076966236526571</v>
      </c>
      <c r="E16" s="53">
        <v>0.11311872163563386</v>
      </c>
      <c r="F16" s="53">
        <v>0.23715496806034392</v>
      </c>
      <c r="G16" s="54">
        <v>0.72426434365856862</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-1.74479403422238E-2</v>
      </c>
      <c r="V16" s="53">
        <v>1.6512641327761278E-2</v>
      </c>
      <c r="W16" s="53">
        <v>0.15767366778442643</v>
      </c>
      <c r="X16" s="53">
        <v>0.19466771140821634</v>
      </c>
      <c r="Y16" s="53">
        <v>0.21927067291667543</v>
      </c>
      <c r="Z16" s="53">
        <v>0.43099999999999999</v>
      </c>
    </row>
    <row r="17" spans="1:26">
      <c r="A17" s="3" t="s">
        <v>214</v>
      </c>
      <c r="B17" s="3">
        <v>32</v>
      </c>
      <c r="C17" s="53">
        <v>0.11316100000000001</v>
      </c>
      <c r="D17" s="53">
        <v>8.0215131840730133E-2</v>
      </c>
      <c r="E17" s="53">
        <v>0.11808931523559212</v>
      </c>
      <c r="F17" s="53">
        <v>8.9332392882258332E-2</v>
      </c>
      <c r="G17" s="54">
        <v>0.81654229864325789</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3.1644256342847926E-2</v>
      </c>
      <c r="V17" s="53">
        <v>3.0793498175279994E-2</v>
      </c>
      <c r="W17" s="53">
        <v>0.17366700473212501</v>
      </c>
      <c r="X17" s="53">
        <v>8.8946041576985921E-2</v>
      </c>
      <c r="Y17" s="53">
        <v>1.3126657214952435</v>
      </c>
      <c r="Z17" s="53">
        <v>3.0999999999999999E-3</v>
      </c>
    </row>
    <row r="18" spans="1:26">
      <c r="A18" s="3" t="s">
        <v>215</v>
      </c>
      <c r="B18" s="3">
        <v>4</v>
      </c>
      <c r="C18" s="53">
        <v>-7.5500000000000038E-3</v>
      </c>
      <c r="D18" s="53">
        <v>1.5742833404804896E-2</v>
      </c>
      <c r="E18" s="53">
        <v>1.5720852535763625E-2</v>
      </c>
      <c r="F18" s="53">
        <v>0.14892889699179582</v>
      </c>
      <c r="G18" s="54">
        <v>0.74486153734767913</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2.3919844159355344E-2</v>
      </c>
      <c r="V18" s="53">
        <v>-5.7903354329949218E-3</v>
      </c>
      <c r="W18" s="53">
        <v>-5.556514170837235</v>
      </c>
      <c r="X18" s="53">
        <v>-2.3605004225089869E-2</v>
      </c>
      <c r="Y18" s="53">
        <v>1.037037037037037E-2</v>
      </c>
      <c r="Z18" s="53">
        <v>0.43959999999999999</v>
      </c>
    </row>
    <row r="19" spans="1:26">
      <c r="A19" s="3" t="s">
        <v>216</v>
      </c>
      <c r="B19" s="3">
        <v>68</v>
      </c>
      <c r="C19" s="53">
        <v>7.3318750000000016E-2</v>
      </c>
      <c r="D19" s="53">
        <v>0.13255076866002388</v>
      </c>
      <c r="E19" s="53">
        <v>0.13505275648152232</v>
      </c>
      <c r="F19" s="53">
        <v>0.10395775946098325</v>
      </c>
      <c r="G19" s="54">
        <v>0.90527818961125484</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2.3084996958236067E-2</v>
      </c>
      <c r="V19" s="53">
        <v>9.8115172777548026E-2</v>
      </c>
      <c r="W19" s="53">
        <v>1.0348496791866486</v>
      </c>
      <c r="X19" s="53">
        <v>0.14943273384769459</v>
      </c>
      <c r="Y19" s="53">
        <v>0.33249927210754887</v>
      </c>
      <c r="Z19" s="53">
        <v>0.2903</v>
      </c>
    </row>
    <row r="20" spans="1:26">
      <c r="A20" s="3" t="s">
        <v>217</v>
      </c>
      <c r="B20" s="3">
        <v>18</v>
      </c>
      <c r="C20" s="53">
        <v>5.559999999999999E-2</v>
      </c>
      <c r="D20" s="53">
        <v>0.20628016917033085</v>
      </c>
      <c r="E20" s="53">
        <v>0.29497550992564786</v>
      </c>
      <c r="F20" s="53">
        <v>2.6193822905913572E-2</v>
      </c>
      <c r="G20" s="54">
        <v>1.0869710749078612</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-7.1878003963649864E-2</v>
      </c>
      <c r="V20" s="53">
        <v>1.5940120019722653E-2</v>
      </c>
      <c r="W20" s="53">
        <v>0.13283664539899678</v>
      </c>
      <c r="X20" s="53">
        <v>0.29069215958320355</v>
      </c>
      <c r="Y20" s="53">
        <v>0.15155665948302102</v>
      </c>
      <c r="Z20" s="53">
        <v>2.8899999999999999E-2</v>
      </c>
    </row>
    <row r="21" spans="1:26">
      <c r="A21" s="3" t="s">
        <v>218</v>
      </c>
      <c r="B21" s="3">
        <v>72</v>
      </c>
      <c r="C21" s="53">
        <v>0.10926473684210528</v>
      </c>
      <c r="D21" s="53">
        <v>7.2661249466694E-2</v>
      </c>
      <c r="E21" s="53">
        <v>0.24167411086330845</v>
      </c>
      <c r="F21" s="53">
        <v>7.7823252777476412E-2</v>
      </c>
      <c r="G21" s="54">
        <v>0.81843948880648487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-1.3398434376508724E-3</v>
      </c>
      <c r="V21" s="53">
        <v>8.2343910033029176E-3</v>
      </c>
      <c r="W21" s="53">
        <v>0.23795588571918946</v>
      </c>
      <c r="X21" s="53">
        <v>0.18772570752648005</v>
      </c>
      <c r="Y21" s="53">
        <v>0.57072644434029085</v>
      </c>
      <c r="Z21" s="53">
        <v>0.2833</v>
      </c>
    </row>
    <row r="22" spans="1:26">
      <c r="A22" s="3" t="s">
        <v>219</v>
      </c>
      <c r="B22" s="3">
        <v>36</v>
      </c>
      <c r="C22" s="53">
        <v>2.3118148148148145E-2</v>
      </c>
      <c r="D22" s="53">
        <v>0.2105083414698482</v>
      </c>
      <c r="E22" s="53">
        <v>0.37798197124632166</v>
      </c>
      <c r="F22" s="53">
        <v>8.6699287009235834E-2</v>
      </c>
      <c r="G22" s="54">
        <v>1.0834247258419334</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1.7043799815278755E-3</v>
      </c>
      <c r="V22" s="53">
        <v>9.0047013395217704E-3</v>
      </c>
      <c r="W22" s="53">
        <v>9.2441186690531002E-2</v>
      </c>
      <c r="X22" s="53">
        <v>-1.2342890084991339E-5</v>
      </c>
      <c r="Y22" s="53">
        <v>0.17443899392066986</v>
      </c>
      <c r="Z22" s="53">
        <v>0.2351</v>
      </c>
    </row>
    <row r="23" spans="1:26">
      <c r="A23" s="3" t="s">
        <v>220</v>
      </c>
      <c r="B23" s="3">
        <v>11</v>
      </c>
      <c r="C23" s="53">
        <v>9.3214285714285708E-2</v>
      </c>
      <c r="D23" s="53">
        <v>0.18714102189619572</v>
      </c>
      <c r="E23" s="53">
        <v>0.16917184600449708</v>
      </c>
      <c r="F23" s="53">
        <v>0.13942221466442042</v>
      </c>
      <c r="G23" s="54">
        <v>0.83589365616405409</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1.963238854994992E-2</v>
      </c>
      <c r="V23" s="53">
        <v>3.4544525640674763E-2</v>
      </c>
      <c r="W23" s="53">
        <v>0.39648111433244615</v>
      </c>
      <c r="X23" s="53">
        <v>0.1720397075859865</v>
      </c>
      <c r="Y23" s="53">
        <v>0.15193309779614278</v>
      </c>
      <c r="Z23" s="53">
        <v>0.44479999999999997</v>
      </c>
    </row>
    <row r="24" spans="1:26">
      <c r="A24" s="3" t="s">
        <v>221</v>
      </c>
      <c r="B24" s="3">
        <v>23</v>
      </c>
      <c r="C24" s="53">
        <v>6.9406363636363641E-2</v>
      </c>
      <c r="D24" s="53">
        <v>0.23072906876887173</v>
      </c>
      <c r="E24" s="53">
        <v>0.20395197737613438</v>
      </c>
      <c r="F24" s="53">
        <v>5.2520475092155787E-2</v>
      </c>
      <c r="G24" s="54">
        <v>1.0447759208185559</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2.9695392039296772E-2</v>
      </c>
      <c r="V24" s="53">
        <v>4.6101030377602686E-2</v>
      </c>
      <c r="W24" s="53">
        <v>0.25080420620828026</v>
      </c>
      <c r="X24" s="53">
        <v>0.15867710900985088</v>
      </c>
      <c r="Y24" s="53">
        <v>8.1605407127575316E-2</v>
      </c>
      <c r="Z24" s="53">
        <v>0.50080000000000002</v>
      </c>
    </row>
    <row r="25" spans="1:26">
      <c r="A25" s="3" t="s">
        <v>222</v>
      </c>
      <c r="B25" s="3">
        <v>572</v>
      </c>
      <c r="C25" s="53">
        <v>0.18950851190476192</v>
      </c>
      <c r="D25" s="53">
        <v>9.2160250476937579E-3</v>
      </c>
      <c r="E25" s="53">
        <v>1.5551579144381567E-2</v>
      </c>
      <c r="F25" s="53">
        <v>8.1446950337839847E-3</v>
      </c>
      <c r="G25" s="54">
        <v>1.0003799688307529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0.37648897569690665</v>
      </c>
      <c r="V25" s="53">
        <v>3.468871974612317E-2</v>
      </c>
      <c r="W25" s="53" t="s">
        <v>584</v>
      </c>
      <c r="X25" s="53">
        <v>-0.11590040227481527</v>
      </c>
      <c r="Y25" s="53">
        <v>8.849667367975925E-4</v>
      </c>
      <c r="Z25" s="53">
        <v>0.32019999999999998</v>
      </c>
    </row>
    <row r="26" spans="1:26">
      <c r="A26" s="3" t="s">
        <v>223</v>
      </c>
      <c r="B26" s="3">
        <v>245</v>
      </c>
      <c r="C26" s="53">
        <v>0.41537666666666667</v>
      </c>
      <c r="D26" s="53">
        <v>0.18154232452557567</v>
      </c>
      <c r="E26" s="53">
        <v>0.13375270622156929</v>
      </c>
      <c r="F26" s="53">
        <v>2.8902976717007978E-2</v>
      </c>
      <c r="G26" s="54">
        <v>0.91663513718941125</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9.7390612971969506E-2</v>
      </c>
      <c r="V26" s="53">
        <v>0.1297351632612678</v>
      </c>
      <c r="W26" s="53">
        <v>0.85392631754367632</v>
      </c>
      <c r="X26" s="53">
        <v>0.17320808107952249</v>
      </c>
      <c r="Y26" s="53">
        <v>0.69958361802549229</v>
      </c>
      <c r="Z26" s="53">
        <v>0.69179999999999997</v>
      </c>
    </row>
    <row r="27" spans="1:26">
      <c r="A27" s="3" t="s">
        <v>224</v>
      </c>
      <c r="B27" s="3">
        <v>31</v>
      </c>
      <c r="C27" s="53">
        <v>4.1181874999999993E-2</v>
      </c>
      <c r="D27" s="53">
        <v>5.0709440299989049E-2</v>
      </c>
      <c r="E27" s="53">
        <v>5.9280308281626143E-2</v>
      </c>
      <c r="F27" s="53">
        <v>0.11152718346776205</v>
      </c>
      <c r="G27" s="54">
        <v>1.0682137152869386</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2.6957645691001734E-2</v>
      </c>
      <c r="V27" s="53">
        <v>3.3245288819538331E-3</v>
      </c>
      <c r="W27" s="53">
        <v>0.97503980207358554</v>
      </c>
      <c r="X27" s="53">
        <v>1.6746880536467494E-2</v>
      </c>
      <c r="Y27" s="53">
        <v>0.38078808076847676</v>
      </c>
      <c r="Z27" s="53">
        <v>1.0733999999999999</v>
      </c>
    </row>
    <row r="28" spans="1:26">
      <c r="A28" s="3" t="s">
        <v>225</v>
      </c>
      <c r="B28" s="3">
        <v>103</v>
      </c>
      <c r="C28" s="53">
        <v>0.14907829787234042</v>
      </c>
      <c r="D28" s="53">
        <v>9.2191420803998156E-2</v>
      </c>
      <c r="E28" s="53">
        <v>0.13265964322266596</v>
      </c>
      <c r="F28" s="53">
        <v>5.6646535418373008E-2</v>
      </c>
      <c r="G28" s="54">
        <v>1.0694958173505562</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4.4920461042954572E-2</v>
      </c>
      <c r="V28" s="53">
        <v>9.8179239343670066E-2</v>
      </c>
      <c r="W28" s="53">
        <v>2.1463997544763114</v>
      </c>
      <c r="X28" s="53">
        <v>0.23703235618633814</v>
      </c>
      <c r="Y28" s="53">
        <v>0.17177866341194353</v>
      </c>
      <c r="Z28" s="53">
        <v>0.44319999999999998</v>
      </c>
    </row>
    <row r="29" spans="1:26">
      <c r="A29" s="3" t="s">
        <v>226</v>
      </c>
      <c r="B29" s="3">
        <v>13</v>
      </c>
      <c r="C29" s="53">
        <v>-6.3210000000000002E-2</v>
      </c>
      <c r="D29" s="53">
        <v>-4.2059337894031676E-4</v>
      </c>
      <c r="E29" s="53">
        <v>9.5426355462240233E-3</v>
      </c>
      <c r="F29" s="53">
        <v>7.3079614651029509E-2</v>
      </c>
      <c r="G29" s="54">
        <v>1.1386815237472103</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9.7431464416019315E-3</v>
      </c>
      <c r="V29" s="53">
        <v>-2.2079528200980025E-3</v>
      </c>
      <c r="W29" s="53" t="s">
        <v>584</v>
      </c>
      <c r="X29" s="53">
        <v>-6.6268001387247435E-2</v>
      </c>
      <c r="Y29" s="53">
        <v>0</v>
      </c>
      <c r="Z29" s="53">
        <v>0.1802</v>
      </c>
    </row>
    <row r="30" spans="1:26">
      <c r="A30" s="3" t="s">
        <v>227</v>
      </c>
      <c r="B30" s="3">
        <v>129</v>
      </c>
      <c r="C30" s="53">
        <v>0.15823965116279071</v>
      </c>
      <c r="D30" s="53">
        <v>9.5866096633002024E-2</v>
      </c>
      <c r="E30" s="53">
        <v>0.15114383953059968</v>
      </c>
      <c r="F30" s="53">
        <v>8.1745773754216267E-2</v>
      </c>
      <c r="G30" s="54">
        <v>0.82725511310653832</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4.2450641137758337E-2</v>
      </c>
      <c r="V30" s="53">
        <v>4.116813973531535E-2</v>
      </c>
      <c r="W30" s="53">
        <v>0.70431641073104712</v>
      </c>
      <c r="X30" s="53">
        <v>8.797660106927524E-2</v>
      </c>
      <c r="Y30" s="53">
        <v>0.28526884031561212</v>
      </c>
      <c r="Z30" s="53">
        <v>0.19950000000000001</v>
      </c>
    </row>
    <row r="31" spans="1:26">
      <c r="A31" s="3" t="s">
        <v>228</v>
      </c>
      <c r="B31" s="3">
        <v>77</v>
      </c>
      <c r="C31" s="53">
        <v>6.5536666666666632E-2</v>
      </c>
      <c r="D31" s="53">
        <v>0.10526189348083488</v>
      </c>
      <c r="E31" s="53">
        <v>0.18528356431084828</v>
      </c>
      <c r="F31" s="53">
        <v>0.14687854862427879</v>
      </c>
      <c r="G31" s="54">
        <v>0.8812886579369924</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0.10319245357384162</v>
      </c>
      <c r="V31" s="53">
        <v>2.8433401793941292E-2</v>
      </c>
      <c r="W31" s="53">
        <v>0.66623551016856597</v>
      </c>
      <c r="X31" s="53">
        <v>0.21241763392703947</v>
      </c>
      <c r="Y31" s="53">
        <v>0.2474936008483172</v>
      </c>
      <c r="Z31" s="53">
        <v>0.45540000000000003</v>
      </c>
    </row>
    <row r="32" spans="1:26">
      <c r="A32" s="3" t="s">
        <v>229</v>
      </c>
      <c r="B32" s="3">
        <v>98</v>
      </c>
      <c r="C32" s="53">
        <v>0.15469137931034482</v>
      </c>
      <c r="D32" s="53">
        <v>6.7303840171110185E-2</v>
      </c>
      <c r="E32" s="53">
        <v>7.5578911739182089E-2</v>
      </c>
      <c r="F32" s="53">
        <v>3.2482833852845901E-2</v>
      </c>
      <c r="G32" s="54">
        <v>0.81816948227606034</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2.8005982797696055E-3</v>
      </c>
      <c r="V32" s="53">
        <v>-2.2575917320574641E-2</v>
      </c>
      <c r="W32" s="53">
        <v>-0.20650613209517016</v>
      </c>
      <c r="X32" s="53">
        <v>-2.7275543810870717E-3</v>
      </c>
      <c r="Y32" s="53">
        <v>3.4346522556140007E-3</v>
      </c>
      <c r="Z32" s="53">
        <v>0.27510000000000001</v>
      </c>
    </row>
    <row r="33" spans="1:26">
      <c r="A33" s="3" t="s">
        <v>230</v>
      </c>
      <c r="B33" s="3">
        <v>57</v>
      </c>
      <c r="C33" s="53">
        <v>0.13381230769230767</v>
      </c>
      <c r="D33" s="53">
        <v>0.13805874648009328</v>
      </c>
      <c r="E33" s="53">
        <v>0.29942483961191058</v>
      </c>
      <c r="F33" s="53">
        <v>5.4191743539848326E-2</v>
      </c>
      <c r="G33" s="54">
        <v>0.7788076092676931</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2.8259328543857452E-2</v>
      </c>
      <c r="V33" s="53">
        <v>6.4845913725881957E-2</v>
      </c>
      <c r="W33" s="53">
        <v>0.70099824399013422</v>
      </c>
      <c r="X33" s="53">
        <v>0.2101163487107984</v>
      </c>
      <c r="Y33" s="53">
        <v>0.3634221878468773</v>
      </c>
      <c r="Z33" s="53">
        <v>0.73899999999999999</v>
      </c>
    </row>
    <row r="34" spans="1:26">
      <c r="A34" s="3" t="s">
        <v>231</v>
      </c>
      <c r="B34" s="3">
        <v>42</v>
      </c>
      <c r="C34" s="53">
        <v>0.21383809523809522</v>
      </c>
      <c r="D34" s="53">
        <v>0.10366481056867373</v>
      </c>
      <c r="E34" s="53">
        <v>0.17930588293067248</v>
      </c>
      <c r="F34" s="53">
        <v>6.683606475914719E-2</v>
      </c>
      <c r="G34" s="54">
        <v>0.74014360993981232</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1.3450482592225456E-2</v>
      </c>
      <c r="V34" s="53">
        <v>2.6989790167118995E-2</v>
      </c>
      <c r="W34" s="53">
        <v>0.53012035842397032</v>
      </c>
      <c r="X34" s="53">
        <v>0.27512096983755308</v>
      </c>
      <c r="Y34" s="53">
        <v>0.17330466660689933</v>
      </c>
      <c r="Z34" s="53">
        <v>0.35849999999999999</v>
      </c>
    </row>
    <row r="35" spans="1:26">
      <c r="A35" s="3" t="s">
        <v>232</v>
      </c>
      <c r="B35" s="3">
        <v>192</v>
      </c>
      <c r="C35" s="53">
        <v>0.19123907563025216</v>
      </c>
      <c r="D35" s="53">
        <v>0.15987809600075464</v>
      </c>
      <c r="E35" s="53">
        <v>9.6330086209587031E-3</v>
      </c>
      <c r="F35" s="53">
        <v>0.10395894208880919</v>
      </c>
      <c r="G35" s="54">
        <v>0.3192698773440083</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0.1319795854325862</v>
      </c>
      <c r="V35" s="53">
        <v>2.7841238176068952E-2</v>
      </c>
      <c r="W35" s="53">
        <v>0.20105976764142242</v>
      </c>
      <c r="X35" s="53">
        <v>0.21311643829434393</v>
      </c>
      <c r="Y35" s="53">
        <v>0.31700384210797466</v>
      </c>
      <c r="Z35" s="53">
        <v>0.13780000000000001</v>
      </c>
    </row>
    <row r="36" spans="1:26">
      <c r="A36" s="3" t="s">
        <v>233</v>
      </c>
      <c r="B36" s="3">
        <v>93</v>
      </c>
      <c r="C36" s="53">
        <v>6.4526666666666663E-2</v>
      </c>
      <c r="D36" s="53">
        <v>0.10663908812693304</v>
      </c>
      <c r="E36" s="53">
        <v>0.16632787981640612</v>
      </c>
      <c r="F36" s="53">
        <v>9.0437974494151835E-2</v>
      </c>
      <c r="G36" s="54">
        <v>0.55451839676684511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2.0938027507652963E-2</v>
      </c>
      <c r="V36" s="53">
        <v>3.3044851127673275E-2</v>
      </c>
      <c r="W36" s="53">
        <v>0.46455600027816707</v>
      </c>
      <c r="X36" s="53">
        <v>8.9774903428867805E-2</v>
      </c>
      <c r="Y36" s="53">
        <v>0.76422137793570577</v>
      </c>
      <c r="Z36" s="53">
        <v>0.4022</v>
      </c>
    </row>
    <row r="37" spans="1:26">
      <c r="A37" s="3" t="s">
        <v>234</v>
      </c>
      <c r="B37" s="3">
        <v>14</v>
      </c>
      <c r="C37" s="53">
        <v>0.18654000000000004</v>
      </c>
      <c r="D37" s="53">
        <v>2.2183644509181345E-2</v>
      </c>
      <c r="E37" s="53">
        <v>0.14961754390226162</v>
      </c>
      <c r="F37" s="53">
        <v>0.15895060357386712</v>
      </c>
      <c r="G37" s="54">
        <v>0.72350874211616811</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2.6125454156993962E-2</v>
      </c>
      <c r="V37" s="53">
        <v>8.9900828796691135E-3</v>
      </c>
      <c r="W37" s="53">
        <v>0.47194525861898456</v>
      </c>
      <c r="X37" s="53">
        <v>0.21114375328629606</v>
      </c>
      <c r="Y37" s="53">
        <v>0.38161390503630449</v>
      </c>
      <c r="Z37" s="53">
        <v>0.76160000000000005</v>
      </c>
    </row>
    <row r="38" spans="1:26">
      <c r="A38" s="3" t="s">
        <v>235</v>
      </c>
      <c r="B38" s="3">
        <v>31</v>
      </c>
      <c r="C38" s="53">
        <v>3.1330476190476186E-2</v>
      </c>
      <c r="D38" s="53">
        <v>6.1040183229692929E-2</v>
      </c>
      <c r="E38" s="53">
        <v>0.1031461588962982</v>
      </c>
      <c r="F38" s="53">
        <v>0.13944466543634329</v>
      </c>
      <c r="G38" s="54">
        <v>0.81607686254483458</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1.3722507350154173E-2</v>
      </c>
      <c r="V38" s="53">
        <v>7.2155187930717318E-2</v>
      </c>
      <c r="W38" s="53">
        <v>0.97314551193468091</v>
      </c>
      <c r="X38" s="53">
        <v>-6.5262790801996332E-2</v>
      </c>
      <c r="Y38" s="53">
        <v>8.5617107786026027E-3</v>
      </c>
      <c r="Z38" s="53">
        <v>0.24540000000000001</v>
      </c>
    </row>
    <row r="39" spans="1:26">
      <c r="A39" s="3" t="s">
        <v>236</v>
      </c>
      <c r="B39" s="3">
        <v>17</v>
      </c>
      <c r="C39" s="53">
        <v>3.7350000000000001E-2</v>
      </c>
      <c r="D39" s="53">
        <v>0.21762599360412235</v>
      </c>
      <c r="E39" s="53">
        <v>4.1502730750869E-2</v>
      </c>
      <c r="F39" s="53">
        <v>4.3866635152303012E-2</v>
      </c>
      <c r="G39" s="54">
        <v>0.53709405674636823</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0.25819803394004409</v>
      </c>
      <c r="V39" s="53">
        <v>0.20460875674779533</v>
      </c>
      <c r="W39" s="53">
        <v>1.1590198207962661</v>
      </c>
      <c r="X39" s="53">
        <v>0.10675101428653834</v>
      </c>
      <c r="Y39" s="53">
        <v>0.2559530242443892</v>
      </c>
      <c r="Z39" s="53">
        <v>2.1600000000000001E-2</v>
      </c>
    </row>
    <row r="40" spans="1:26">
      <c r="A40" s="3" t="s">
        <v>237</v>
      </c>
      <c r="B40" s="3">
        <v>230</v>
      </c>
      <c r="C40" s="53">
        <v>0.17948400000000009</v>
      </c>
      <c r="D40" s="53">
        <v>0.13397753860033068</v>
      </c>
      <c r="E40" s="53">
        <v>0.13081181602888342</v>
      </c>
      <c r="F40" s="53">
        <v>4.8144130281923228E-2</v>
      </c>
      <c r="G40" s="54">
        <v>0.96996021209180838</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0.11832959057934007</v>
      </c>
      <c r="V40" s="53">
        <v>2.0771729298397056E-2</v>
      </c>
      <c r="W40" s="53">
        <v>0.49512455251752285</v>
      </c>
      <c r="X40" s="53">
        <v>8.305797928561881E-2</v>
      </c>
      <c r="Y40" s="53">
        <v>0.41765478553209229</v>
      </c>
      <c r="Z40" s="53">
        <v>0.42159999999999997</v>
      </c>
    </row>
    <row r="41" spans="1:26">
      <c r="A41" s="3" t="s">
        <v>238</v>
      </c>
      <c r="B41" s="3">
        <v>119</v>
      </c>
      <c r="C41" s="53">
        <v>0.12421877192982453</v>
      </c>
      <c r="D41" s="53">
        <v>3.8650719005027985E-2</v>
      </c>
      <c r="E41" s="53">
        <v>0.45741028306204884</v>
      </c>
      <c r="F41" s="53">
        <v>8.0842790360317815E-2</v>
      </c>
      <c r="G41" s="54">
        <v>0.85946082828042358</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6.8462345197443271E-3</v>
      </c>
      <c r="V41" s="53">
        <v>1.9151402871181444E-2</v>
      </c>
      <c r="W41" s="53">
        <v>0.6275372045055494</v>
      </c>
      <c r="X41" s="53">
        <v>0.15620310034184115</v>
      </c>
      <c r="Y41" s="53">
        <v>0.29625921121923621</v>
      </c>
      <c r="Z41" s="53">
        <v>0.17960000000000001</v>
      </c>
    </row>
    <row r="42" spans="1:26">
      <c r="A42" s="3" t="s">
        <v>239</v>
      </c>
      <c r="B42" s="3">
        <v>128</v>
      </c>
      <c r="C42" s="53">
        <v>0.19666706896551731</v>
      </c>
      <c r="D42" s="53">
        <v>0.14036730299835781</v>
      </c>
      <c r="E42" s="53">
        <v>0.14281217248637942</v>
      </c>
      <c r="F42" s="53">
        <v>3.1110902999087604E-2</v>
      </c>
      <c r="G42" s="54">
        <v>1.1376407770890611</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7.2469223761760222E-4</v>
      </c>
      <c r="V42" s="53">
        <v>2.6677271844225636E-2</v>
      </c>
      <c r="W42" s="53">
        <v>0.31339455513224623</v>
      </c>
      <c r="X42" s="53">
        <v>5.17765805634577E-2</v>
      </c>
      <c r="Y42" s="53">
        <v>0.19727330771004128</v>
      </c>
      <c r="Z42" s="53">
        <v>9.4399999999999998E-2</v>
      </c>
    </row>
    <row r="43" spans="1:26">
      <c r="A43" s="3" t="s">
        <v>240</v>
      </c>
      <c r="B43" s="3">
        <v>32</v>
      </c>
      <c r="C43" s="53">
        <v>0.11040782608695648</v>
      </c>
      <c r="D43" s="53">
        <v>0.16303748138534604</v>
      </c>
      <c r="E43" s="53">
        <v>0.20906182388989658</v>
      </c>
      <c r="F43" s="53">
        <v>0.17220642195530883</v>
      </c>
      <c r="G43" s="54">
        <v>1.2193701044888992</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6.3110106495485605E-3</v>
      </c>
      <c r="V43" s="53">
        <v>3.6279568408271621E-3</v>
      </c>
      <c r="W43" s="53">
        <v>-4.9962200704110622E-2</v>
      </c>
      <c r="X43" s="53">
        <v>0.2288315257494398</v>
      </c>
      <c r="Y43" s="53">
        <v>6.4331005164984509E-2</v>
      </c>
      <c r="Z43" s="53">
        <v>5.6300000000000003E-2</v>
      </c>
    </row>
    <row r="44" spans="1:26">
      <c r="A44" s="3" t="s">
        <v>241</v>
      </c>
      <c r="B44" s="3">
        <v>32</v>
      </c>
      <c r="C44" s="53">
        <v>0.18106894736842105</v>
      </c>
      <c r="D44" s="53">
        <v>0.11548106893287978</v>
      </c>
      <c r="E44" s="53">
        <v>0.20156640226109454</v>
      </c>
      <c r="F44" s="53">
        <v>6.8565768017194773E-2</v>
      </c>
      <c r="G44" s="54">
        <v>0.5503980343737368</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1.3927684229044475E-2</v>
      </c>
      <c r="V44" s="53">
        <v>2.2041129079390705E-2</v>
      </c>
      <c r="W44" s="53">
        <v>0.34919798188250589</v>
      </c>
      <c r="X44" s="53">
        <v>0.61965679511239247</v>
      </c>
      <c r="Y44" s="53">
        <v>0.12781126030710444</v>
      </c>
      <c r="Z44" s="53">
        <v>1.1047</v>
      </c>
    </row>
    <row r="45" spans="1:26">
      <c r="A45" s="3" t="s">
        <v>242</v>
      </c>
      <c r="B45" s="3">
        <v>68</v>
      </c>
      <c r="C45" s="53">
        <v>0.10244649999999998</v>
      </c>
      <c r="D45" s="53">
        <v>0.13385572291330425</v>
      </c>
      <c r="E45" s="53">
        <v>9.9886217562338883E-2</v>
      </c>
      <c r="F45" s="53">
        <v>8.6279900545970845E-2</v>
      </c>
      <c r="G45" s="54">
        <v>0.98418091417736064</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0.12996342799426844</v>
      </c>
      <c r="V45" s="53">
        <v>1.1171667233667715E-2</v>
      </c>
      <c r="W45" s="53">
        <v>0.21810072641597461</v>
      </c>
      <c r="X45" s="53">
        <v>0.35869098916068981</v>
      </c>
      <c r="Y45" s="53">
        <v>8.4312715869453519E-2</v>
      </c>
      <c r="Z45" s="53">
        <v>0.42880000000000001</v>
      </c>
    </row>
    <row r="46" spans="1:26">
      <c r="A46" s="3" t="s">
        <v>243</v>
      </c>
      <c r="B46" s="3">
        <v>19</v>
      </c>
      <c r="C46" s="53">
        <v>1.2966000000000004E-2</v>
      </c>
      <c r="D46" s="53">
        <v>0.18888157002077771</v>
      </c>
      <c r="E46" s="53">
        <v>0.34643044644482202</v>
      </c>
      <c r="F46" s="53">
        <v>0.12096455795583913</v>
      </c>
      <c r="G46" s="54">
        <v>0.7021397941427695</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1.2704344447733367E-2</v>
      </c>
      <c r="V46" s="53">
        <v>1.1090429343845635E-2</v>
      </c>
      <c r="W46" s="53">
        <v>2.0432115095575496E-2</v>
      </c>
      <c r="X46" s="53">
        <v>0.3641117785082732</v>
      </c>
      <c r="Y46" s="53">
        <v>0.66555865382705948</v>
      </c>
      <c r="Z46" s="53">
        <v>0.91910000000000003</v>
      </c>
    </row>
    <row r="47" spans="1:26">
      <c r="A47" s="3" t="s">
        <v>244</v>
      </c>
      <c r="B47" s="3">
        <v>18</v>
      </c>
      <c r="C47" s="53">
        <v>4.7169999999999997E-2</v>
      </c>
      <c r="D47" s="53">
        <v>0.12237990878882006</v>
      </c>
      <c r="E47" s="53">
        <v>0.22740740434639165</v>
      </c>
      <c r="F47" s="53">
        <v>0.15792605530081147</v>
      </c>
      <c r="G47" s="54">
        <v>0.73431507001769347</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-1.4683566513378913E-3</v>
      </c>
      <c r="V47" s="53">
        <v>-3.6251195768292693E-2</v>
      </c>
      <c r="W47" s="53">
        <v>-0.26314035240567679</v>
      </c>
      <c r="X47" s="53">
        <v>8.4289167807033175E-2</v>
      </c>
      <c r="Y47" s="53">
        <v>0.60703971407145041</v>
      </c>
      <c r="Z47" s="53">
        <v>0.23810000000000001</v>
      </c>
    </row>
    <row r="48" spans="1:26">
      <c r="A48" s="3" t="s">
        <v>245</v>
      </c>
      <c r="B48" s="3">
        <v>21</v>
      </c>
      <c r="C48" s="53">
        <v>7.7637272727272721E-2</v>
      </c>
      <c r="D48" s="53">
        <v>0.15268426099462126</v>
      </c>
      <c r="E48" s="53">
        <v>0.15653546538570912</v>
      </c>
      <c r="F48" s="53">
        <v>0.13691324211870914</v>
      </c>
      <c r="G48" s="54">
        <v>0.86492552669642064</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-3.1650180745330693E-2</v>
      </c>
      <c r="V48" s="53">
        <v>-2.5998498392279908E-2</v>
      </c>
      <c r="W48" s="53">
        <v>0.3789687523388437</v>
      </c>
      <c r="X48" s="53">
        <v>0.13524697097521135</v>
      </c>
      <c r="Y48" s="53">
        <v>0.32753059692538994</v>
      </c>
      <c r="Z48" s="53">
        <v>0.27929999999999999</v>
      </c>
    </row>
    <row r="49" spans="1:26">
      <c r="A49" s="3" t="s">
        <v>246</v>
      </c>
      <c r="B49" s="3">
        <v>23</v>
      </c>
      <c r="C49" s="53">
        <v>-6.2500000000000121E-4</v>
      </c>
      <c r="D49" s="53">
        <v>1.2852923105425914E-3</v>
      </c>
      <c r="E49" s="53">
        <v>1.0816809572142688E-3</v>
      </c>
      <c r="F49" s="53">
        <v>0.10180425412245848</v>
      </c>
      <c r="G49" s="54">
        <v>0.45261830575801743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-3.8606362671102083E-3</v>
      </c>
      <c r="V49" s="53">
        <v>-2.5614435950617652E-2</v>
      </c>
      <c r="W49" s="53" t="s">
        <v>584</v>
      </c>
      <c r="X49" s="53">
        <v>1.3240127450855269E-2</v>
      </c>
      <c r="Y49" s="53">
        <v>3.812072472103254</v>
      </c>
      <c r="Z49" s="53">
        <v>0.27260000000000001</v>
      </c>
    </row>
    <row r="50" spans="1:26">
      <c r="A50" s="3" t="s">
        <v>247</v>
      </c>
      <c r="B50" s="3">
        <v>50</v>
      </c>
      <c r="C50" s="53">
        <v>6.1676590909090896E-2</v>
      </c>
      <c r="D50" s="53">
        <v>7.4917280524282939E-2</v>
      </c>
      <c r="E50" s="53">
        <v>0.11118635097908262</v>
      </c>
      <c r="F50" s="53">
        <v>0.12420210692099873</v>
      </c>
      <c r="G50" s="54">
        <v>0.6449968390155858</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3.6507669157428164E-3</v>
      </c>
      <c r="V50" s="53">
        <v>-1.3016926116446899E-3</v>
      </c>
      <c r="W50" s="53">
        <v>0.28662293809310668</v>
      </c>
      <c r="X50" s="53">
        <v>0.10356883343367865</v>
      </c>
      <c r="Y50" s="53">
        <v>0.35133432350759741</v>
      </c>
      <c r="Z50" s="53">
        <v>0.24360000000000001</v>
      </c>
    </row>
    <row r="51" spans="1:26">
      <c r="A51" s="3" t="s">
        <v>248</v>
      </c>
      <c r="B51" s="3">
        <v>334</v>
      </c>
      <c r="C51" s="53">
        <v>4.6036862745098023E-2</v>
      </c>
      <c r="D51" s="53">
        <v>0.14702327253960745</v>
      </c>
      <c r="E51" s="53">
        <v>6.1639717527291187E-2</v>
      </c>
      <c r="F51" s="53">
        <v>0.11332978400021217</v>
      </c>
      <c r="G51" s="54">
        <v>0.35086203056282117</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5.3070408422195771E-2</v>
      </c>
      <c r="V51" s="53">
        <v>6.1361471889236401E-2</v>
      </c>
      <c r="W51" s="53">
        <v>0.54669683230965871</v>
      </c>
      <c r="X51" s="53">
        <v>0.13783634813168708</v>
      </c>
      <c r="Y51" s="53">
        <v>0.42105650684678592</v>
      </c>
      <c r="Z51" s="53">
        <v>0.63039999999999996</v>
      </c>
    </row>
    <row r="52" spans="1:26">
      <c r="A52" s="3" t="s">
        <v>249</v>
      </c>
      <c r="B52" s="3">
        <v>103</v>
      </c>
      <c r="C52" s="53">
        <v>4.712599999999998E-2</v>
      </c>
      <c r="D52" s="53">
        <v>0.14945637511838269</v>
      </c>
      <c r="E52" s="53">
        <v>0.24909385325604075</v>
      </c>
      <c r="F52" s="53">
        <v>0.11725297212399345</v>
      </c>
      <c r="G52" s="54">
        <v>0.91084743835465243</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3.9940132462024158E-2</v>
      </c>
      <c r="V52" s="53">
        <v>6.4279580722076277E-2</v>
      </c>
      <c r="W52" s="53">
        <v>0.66768064881451694</v>
      </c>
      <c r="X52" s="53">
        <v>0.19022656097823037</v>
      </c>
      <c r="Y52" s="53">
        <v>0.3626998107382271</v>
      </c>
      <c r="Z52" s="53">
        <v>0.37580000000000002</v>
      </c>
    </row>
    <row r="53" spans="1:26">
      <c r="A53" s="3" t="s">
        <v>250</v>
      </c>
      <c r="B53" s="3">
        <v>68</v>
      </c>
      <c r="C53" s="53">
        <v>-1.3133333333333325E-2</v>
      </c>
      <c r="D53" s="53">
        <v>0.19550192880447212</v>
      </c>
      <c r="E53" s="53">
        <v>0.2402669710602103</v>
      </c>
      <c r="F53" s="53">
        <v>1.9958935953063753E-2</v>
      </c>
      <c r="G53" s="54">
        <v>0.86039105164646867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1.0325301873605076E-2</v>
      </c>
      <c r="V53" s="53">
        <v>5.9114049217197283E-2</v>
      </c>
      <c r="W53" s="53">
        <v>0.63149629307441901</v>
      </c>
      <c r="X53" s="53">
        <v>0.12165895420384185</v>
      </c>
      <c r="Y53" s="53">
        <v>0.95470595148672233</v>
      </c>
      <c r="Z53" s="53">
        <v>2.0999999999999999E-3</v>
      </c>
    </row>
    <row r="54" spans="1:26">
      <c r="A54" s="3" t="s">
        <v>251</v>
      </c>
      <c r="B54" s="3">
        <v>17</v>
      </c>
      <c r="C54" s="53">
        <v>0.15850384615384616</v>
      </c>
      <c r="D54" s="53">
        <v>7.4966273687470428E-2</v>
      </c>
      <c r="E54" s="53">
        <v>0.12926389341779917</v>
      </c>
      <c r="F54" s="53">
        <v>0.17122271667535216</v>
      </c>
      <c r="G54" s="54">
        <v>0.81720681081834057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3.6925574384203833E-3</v>
      </c>
      <c r="V54" s="53">
        <v>1.9833530163557829E-2</v>
      </c>
      <c r="W54" s="53">
        <v>0.16580160140452149</v>
      </c>
      <c r="X54" s="53">
        <v>2.6638000470444002E-2</v>
      </c>
      <c r="Y54" s="53">
        <v>2.2516908050975011</v>
      </c>
      <c r="Z54" s="53">
        <v>0.33110000000000001</v>
      </c>
    </row>
    <row r="55" spans="1:26">
      <c r="A55" s="3" t="s">
        <v>252</v>
      </c>
      <c r="B55" s="3">
        <v>4</v>
      </c>
      <c r="C55" s="53">
        <v>1.7600000000000001E-2</v>
      </c>
      <c r="D55" s="53">
        <v>0.15780620917984589</v>
      </c>
      <c r="E55" s="53">
        <v>0.17039770081786265</v>
      </c>
      <c r="F55" s="53">
        <v>0.21180044461142553</v>
      </c>
      <c r="G55" s="54">
        <v>0.61315592687883902</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-6.7250118034775708E-2</v>
      </c>
      <c r="V55" s="53">
        <v>-2.148426775026158E-4</v>
      </c>
      <c r="W55" s="53">
        <v>-1.671215236463339E-2</v>
      </c>
      <c r="X55" s="53">
        <v>0.19851813516763073</v>
      </c>
      <c r="Y55" s="53">
        <v>0.37142296537371583</v>
      </c>
      <c r="Z55" s="53">
        <v>0.99939999999999996</v>
      </c>
    </row>
    <row r="56" spans="1:26">
      <c r="A56" s="3" t="s">
        <v>253</v>
      </c>
      <c r="B56" s="3">
        <v>166</v>
      </c>
      <c r="C56" s="53">
        <v>0.2328005882352942</v>
      </c>
      <c r="D56" s="53">
        <v>0.37683944417134074</v>
      </c>
      <c r="E56" s="53">
        <v>0.28405709355869363</v>
      </c>
      <c r="F56" s="53">
        <v>5.6130439210446151E-2</v>
      </c>
      <c r="G56" s="54">
        <v>0.79166957649152359</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-0.22847164912298079</v>
      </c>
      <c r="V56" s="53">
        <v>0.16046402665504775</v>
      </c>
      <c r="W56" s="53">
        <v>0.50395048936072928</v>
      </c>
      <c r="X56" s="53">
        <v>0.31094799857184063</v>
      </c>
      <c r="Y56" s="53">
        <v>0.31272316107697362</v>
      </c>
      <c r="Z56" s="53">
        <v>4.8999999999999998E-3</v>
      </c>
    </row>
    <row r="57" spans="1:26">
      <c r="A57" s="3" t="s">
        <v>254</v>
      </c>
      <c r="B57" s="3">
        <v>24</v>
      </c>
      <c r="C57" s="53">
        <v>0.27451533333333339</v>
      </c>
      <c r="D57" s="53">
        <v>0.3821215803091032</v>
      </c>
      <c r="E57" s="53">
        <v>0.20602082553480802</v>
      </c>
      <c r="F57" s="53">
        <v>9.250754845249437E-2</v>
      </c>
      <c r="G57" s="54">
        <v>0.51796852596856913</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5.0148697565255682E-2</v>
      </c>
      <c r="V57" s="53">
        <v>0.13121071073961837</v>
      </c>
      <c r="W57" s="53">
        <v>0.40284567963839019</v>
      </c>
      <c r="X57" s="53">
        <v>0.42406084058617804</v>
      </c>
      <c r="Y57" s="53">
        <v>0.39844096378722926</v>
      </c>
      <c r="Z57" s="53">
        <v>2.2572999999999999</v>
      </c>
    </row>
    <row r="58" spans="1:26">
      <c r="A58" s="3" t="s">
        <v>255</v>
      </c>
      <c r="B58" s="3">
        <v>100</v>
      </c>
      <c r="C58" s="53">
        <v>7.7372121212121239E-2</v>
      </c>
      <c r="D58" s="53">
        <v>8.8303707273693438E-2</v>
      </c>
      <c r="E58" s="53">
        <v>0.28021406956927292</v>
      </c>
      <c r="F58" s="53">
        <v>0.10878176070621855</v>
      </c>
      <c r="G58" s="54">
        <v>0.78929129285776589</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-7.939312059139853E-4</v>
      </c>
      <c r="V58" s="53">
        <v>5.7629495091217316E-3</v>
      </c>
      <c r="W58" s="53">
        <v>0.15485672710250106</v>
      </c>
      <c r="X58" s="53">
        <v>0.29646913716435203</v>
      </c>
      <c r="Y58" s="53">
        <v>0.18808725311152891</v>
      </c>
      <c r="Z58" s="53">
        <v>0.5181</v>
      </c>
    </row>
    <row r="59" spans="1:26">
      <c r="A59" s="3" t="s">
        <v>256</v>
      </c>
      <c r="B59" s="3">
        <v>11</v>
      </c>
      <c r="C59" s="53">
        <v>4.6280999999999996E-2</v>
      </c>
      <c r="D59" s="53">
        <v>0.10208050106476689</v>
      </c>
      <c r="E59" s="53">
        <v>0.14468950470501363</v>
      </c>
      <c r="F59" s="53">
        <v>0.21570367350814851</v>
      </c>
      <c r="G59" s="54">
        <v>0.5647968018796421</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2.177664819877731E-2</v>
      </c>
      <c r="V59" s="53">
        <v>3.8600392724298972E-2</v>
      </c>
      <c r="W59" s="53">
        <v>0.70321264532913874</v>
      </c>
      <c r="X59" s="53">
        <v>0.19622775667533635</v>
      </c>
      <c r="Y59" s="53">
        <v>0.25848828708559801</v>
      </c>
      <c r="Z59" s="53">
        <v>0.35849999999999999</v>
      </c>
    </row>
    <row r="60" spans="1:26">
      <c r="A60" s="3" t="s">
        <v>257</v>
      </c>
      <c r="B60" s="3">
        <v>7</v>
      </c>
      <c r="C60" s="53">
        <v>3.8425000000000001E-2</v>
      </c>
      <c r="D60" s="53">
        <v>0.10076030717260351</v>
      </c>
      <c r="E60" s="53">
        <v>0.18901373691463047</v>
      </c>
      <c r="F60" s="53">
        <v>0.12914141300012244</v>
      </c>
      <c r="G60" s="54">
        <v>1.5139152943058258</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-2.8965992312751398E-3</v>
      </c>
      <c r="V60" s="53">
        <v>5.0747159393665635E-2</v>
      </c>
      <c r="W60" s="53">
        <v>0.99702940057992662</v>
      </c>
      <c r="X60" s="53">
        <v>0.15165444471442061</v>
      </c>
      <c r="Y60" s="53">
        <v>0.27578599007170435</v>
      </c>
      <c r="Z60" s="53">
        <v>1.1308</v>
      </c>
    </row>
    <row r="61" spans="1:26">
      <c r="A61" s="3" t="s">
        <v>258</v>
      </c>
      <c r="B61" s="3">
        <v>50</v>
      </c>
      <c r="C61" s="53">
        <v>5.3279999999999987E-2</v>
      </c>
      <c r="D61" s="53">
        <v>0.16287728602549201</v>
      </c>
      <c r="E61" s="53">
        <v>5.7838808795451627E-2</v>
      </c>
      <c r="F61" s="53">
        <v>0.13685656820612682</v>
      </c>
      <c r="G61" s="54">
        <v>0.38341453466077507</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0.20554745056513421</v>
      </c>
      <c r="V61" s="53">
        <v>0.22702951827873996</v>
      </c>
      <c r="W61" s="53">
        <v>1.7342755771524554</v>
      </c>
      <c r="X61" s="53">
        <v>8.6033634105900814E-2</v>
      </c>
      <c r="Y61" s="53">
        <v>0.76674406940227546</v>
      </c>
      <c r="Z61" s="53">
        <v>0.68679999999999997</v>
      </c>
    </row>
    <row r="62" spans="1:26">
      <c r="A62" s="3" t="s">
        <v>259</v>
      </c>
      <c r="B62" s="3">
        <v>61</v>
      </c>
      <c r="C62" s="53">
        <v>0.116358</v>
      </c>
      <c r="D62" s="53">
        <v>9.5593216693681315E-2</v>
      </c>
      <c r="E62" s="53">
        <v>4.6929693296862557E-2</v>
      </c>
      <c r="F62" s="53">
        <v>1.9845620463018968E-2</v>
      </c>
      <c r="G62" s="54">
        <v>0.77999610115459062</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-8.1864633393163536E-2</v>
      </c>
      <c r="V62" s="53">
        <v>9.5405975749894428E-2</v>
      </c>
      <c r="W62" s="53">
        <v>1.4626231735473461</v>
      </c>
      <c r="X62" s="53">
        <v>-2.3341970007055318E-2</v>
      </c>
      <c r="Y62" s="53">
        <v>8.8351216929083726E-3</v>
      </c>
      <c r="Z62" s="53">
        <v>2.3999999999999998E-3</v>
      </c>
    </row>
    <row r="63" spans="1:26">
      <c r="A63" s="3" t="s">
        <v>260</v>
      </c>
      <c r="B63" s="3">
        <v>13</v>
      </c>
      <c r="C63" s="53">
        <v>1.886888888888889E-2</v>
      </c>
      <c r="D63" s="53">
        <v>7.1521223527960753E-2</v>
      </c>
      <c r="E63" s="53">
        <v>0.11743909189085758</v>
      </c>
      <c r="F63" s="53">
        <v>0.10663894516423554</v>
      </c>
      <c r="G63" s="54">
        <v>0.75542556054331078</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5.6288048002505545E-3</v>
      </c>
      <c r="V63" s="53">
        <v>-1.4497011494252865E-2</v>
      </c>
      <c r="W63" s="53">
        <v>-0.12400404330731554</v>
      </c>
      <c r="X63" s="53">
        <v>2.5384759683220643E-2</v>
      </c>
      <c r="Y63" s="53">
        <v>0.96086621256907867</v>
      </c>
      <c r="Z63" s="53">
        <v>1.1288</v>
      </c>
    </row>
    <row r="64" spans="1:26">
      <c r="A64" s="3" t="s">
        <v>261</v>
      </c>
      <c r="B64" s="3">
        <v>181</v>
      </c>
      <c r="C64" s="53">
        <v>7.9506184210526312E-2</v>
      </c>
      <c r="D64" s="53">
        <v>0.19652368248741175</v>
      </c>
      <c r="E64" s="53">
        <v>2.604602253380742E-2</v>
      </c>
      <c r="F64" s="53">
        <v>1.9726696351117404E-2</v>
      </c>
      <c r="G64" s="54">
        <v>0.64078756167406792</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-0.15306880511760745</v>
      </c>
      <c r="V64" s="53">
        <v>-0.16888406313044227</v>
      </c>
      <c r="W64" s="53">
        <v>-0.82957560768677063</v>
      </c>
      <c r="X64" s="53">
        <v>4.1547193007393492E-2</v>
      </c>
      <c r="Y64" s="53">
        <v>2.320757535648835</v>
      </c>
      <c r="Z64" s="53">
        <v>1.3782000000000001</v>
      </c>
    </row>
    <row r="65" spans="1:26">
      <c r="A65" s="3" t="s">
        <v>262</v>
      </c>
      <c r="B65" s="3">
        <v>17</v>
      </c>
      <c r="C65" s="53">
        <v>0.55561666666666665</v>
      </c>
      <c r="D65" s="53">
        <v>0.11158676233778687</v>
      </c>
      <c r="E65" s="53">
        <v>2.9287042485061747E-2</v>
      </c>
      <c r="F65" s="53">
        <v>1.4520067954979827E-2</v>
      </c>
      <c r="G65" s="54">
        <v>0.39196912740588868</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0.21690308145710785</v>
      </c>
      <c r="V65" s="53">
        <v>-5.9288075101082707E-2</v>
      </c>
      <c r="W65" s="53">
        <v>-0.97271208117751418</v>
      </c>
      <c r="X65" s="53">
        <v>-8.5380378934187581E-2</v>
      </c>
      <c r="Y65" s="53">
        <v>0</v>
      </c>
      <c r="Z65" s="53">
        <v>0</v>
      </c>
    </row>
    <row r="66" spans="1:26">
      <c r="A66" s="3" t="s">
        <v>263</v>
      </c>
      <c r="B66" s="3">
        <v>11</v>
      </c>
      <c r="C66" s="53">
        <v>9.080400000000001E-2</v>
      </c>
      <c r="D66" s="53">
        <v>0.1643542931994576</v>
      </c>
      <c r="E66" s="53">
        <v>5.3122203722769448E-2</v>
      </c>
      <c r="F66" s="53">
        <v>0.13211625694171472</v>
      </c>
      <c r="G66" s="54">
        <v>0.45483353000656723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-2.9910701827821965E-2</v>
      </c>
      <c r="V66" s="53">
        <v>-5.1359511631743945E-2</v>
      </c>
      <c r="W66" s="53">
        <v>-0.59412378257803355</v>
      </c>
      <c r="X66" s="53">
        <v>9.1092056157810561E-2</v>
      </c>
      <c r="Y66" s="53">
        <v>0.24923181973369751</v>
      </c>
      <c r="Z66" s="53">
        <v>4.4936999999999996</v>
      </c>
    </row>
    <row r="67" spans="1:26">
      <c r="A67" s="3" t="s">
        <v>264</v>
      </c>
      <c r="B67" s="3">
        <v>60</v>
      </c>
      <c r="C67" s="53">
        <v>5.4392666666666666E-2</v>
      </c>
      <c r="D67" s="53">
        <v>5.1509621104076195E-4</v>
      </c>
      <c r="E67" s="53">
        <v>6.7119159647465029E-4</v>
      </c>
      <c r="F67" s="53">
        <v>4.2930739946028362E-2</v>
      </c>
      <c r="G67" s="54">
        <v>0.80953844628084592</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-6.3576461763783796E-3</v>
      </c>
      <c r="V67" s="53">
        <v>-1.1660648443319731E-2</v>
      </c>
      <c r="W67" s="53" t="s">
        <v>584</v>
      </c>
      <c r="X67" s="53">
        <v>-8.2699453594316241E-2</v>
      </c>
      <c r="Y67" s="53">
        <v>7.6188461338059024E-3</v>
      </c>
      <c r="Z67" s="53">
        <v>0.1008</v>
      </c>
    </row>
    <row r="68" spans="1:26">
      <c r="A68" s="3" t="s">
        <v>265</v>
      </c>
      <c r="B68" s="3">
        <v>55</v>
      </c>
      <c r="C68" s="53">
        <v>0.10951862068965518</v>
      </c>
      <c r="D68" s="53">
        <v>8.0952469162893961E-2</v>
      </c>
      <c r="E68" s="53">
        <v>9.5367541711306333E-2</v>
      </c>
      <c r="F68" s="53">
        <v>8.2618049083441364E-2</v>
      </c>
      <c r="G68" s="54">
        <v>0.8137837094635364</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0.11377842440533756</v>
      </c>
      <c r="V68" s="53">
        <v>3.2100923079553575E-2</v>
      </c>
      <c r="W68" s="53">
        <v>0.56158342782299575</v>
      </c>
      <c r="X68" s="53">
        <v>2.5626629604530146E-2</v>
      </c>
      <c r="Y68" s="53">
        <v>1.9958513365724233</v>
      </c>
      <c r="Z68" s="53">
        <v>1.1976</v>
      </c>
    </row>
    <row r="69" spans="1:26">
      <c r="A69" s="3" t="s">
        <v>266</v>
      </c>
      <c r="B69" s="3">
        <v>1</v>
      </c>
      <c r="C69" s="53">
        <v>6.9500000000000006E-2</v>
      </c>
      <c r="D69" s="53">
        <v>9.6553255050935372E-2</v>
      </c>
      <c r="E69" s="53">
        <v>0.30116910073399067</v>
      </c>
      <c r="F69" s="53">
        <v>0.22953020134228189</v>
      </c>
      <c r="G69" s="54">
        <v>0.49668899325535054</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-9.8234674161250621E-3</v>
      </c>
      <c r="V69" s="53">
        <v>4.3263873412079337E-2</v>
      </c>
      <c r="W69" s="53">
        <v>0.75607995316740739</v>
      </c>
      <c r="X69" s="53">
        <v>0.31234601697235148</v>
      </c>
      <c r="Y69" s="53">
        <v>0.18930762489044697</v>
      </c>
      <c r="Z69" s="53">
        <v>9.2499999999999999E-2</v>
      </c>
    </row>
    <row r="70" spans="1:26">
      <c r="A70" s="3" t="s">
        <v>267</v>
      </c>
      <c r="B70" s="3">
        <v>64</v>
      </c>
      <c r="C70" s="53">
        <v>6.7960000000000007E-2</v>
      </c>
      <c r="D70" s="53">
        <v>0.13487076046383994</v>
      </c>
      <c r="E70" s="53">
        <v>0.19557552942837814</v>
      </c>
      <c r="F70" s="53">
        <v>0.11412279619274342</v>
      </c>
      <c r="G70" s="54">
        <v>1.0013618275712217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2.4713858138244199E-2</v>
      </c>
      <c r="V70" s="53">
        <v>3.5722685370995058E-2</v>
      </c>
      <c r="W70" s="53">
        <v>0.34511083241843721</v>
      </c>
      <c r="X70" s="53" t="s">
        <v>584</v>
      </c>
      <c r="Y70" s="53">
        <v>0.53075598955740277</v>
      </c>
      <c r="Z70" s="53">
        <v>0.51759999999999995</v>
      </c>
    </row>
    <row r="71" spans="1:26">
      <c r="A71" s="3" t="s">
        <v>268</v>
      </c>
      <c r="B71" s="3">
        <v>30</v>
      </c>
      <c r="C71" s="53">
        <v>0.17498636363636366</v>
      </c>
      <c r="D71" s="53">
        <v>5.7095367312297002E-2</v>
      </c>
      <c r="E71" s="53">
        <v>0.13195481158300898</v>
      </c>
      <c r="F71" s="53">
        <v>0.13496183038859538</v>
      </c>
      <c r="G71" s="54">
        <v>1.0441172212475893</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1.7203559314504849E-2</v>
      </c>
      <c r="V71" s="53">
        <v>2.1762603098834987E-2</v>
      </c>
      <c r="W71" s="53">
        <v>0.71346116785558666</v>
      </c>
      <c r="X71" s="53">
        <v>0.47328545526154348</v>
      </c>
      <c r="Y71" s="53">
        <v>5.7941597498037609E-2</v>
      </c>
      <c r="Z71" s="53">
        <v>3.5499999999999997E-2</v>
      </c>
    </row>
    <row r="72" spans="1:26">
      <c r="A72" s="3" t="s">
        <v>269</v>
      </c>
      <c r="B72" s="3">
        <v>16</v>
      </c>
      <c r="C72" s="53">
        <v>8.9053846153846164E-2</v>
      </c>
      <c r="D72" s="53">
        <v>0.12380164491660697</v>
      </c>
      <c r="E72" s="53">
        <v>0.39426101011063314</v>
      </c>
      <c r="F72" s="53">
        <v>0.12587728059564698</v>
      </c>
      <c r="G72" s="54">
        <v>1.6862214185523963</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2.0227784508702832E-3</v>
      </c>
      <c r="V72" s="53">
        <v>8.4849635897816383E-3</v>
      </c>
      <c r="W72" s="53">
        <v>2.3337337560001278E-2</v>
      </c>
      <c r="X72" s="53" t="s">
        <v>584</v>
      </c>
      <c r="Y72" s="53">
        <v>0.46644741818218693</v>
      </c>
      <c r="Z72" s="53">
        <v>0.38719999999999999</v>
      </c>
    </row>
    <row r="73" spans="1:26">
      <c r="A73" s="3" t="s">
        <v>270</v>
      </c>
      <c r="B73" s="3">
        <v>62</v>
      </c>
      <c r="C73" s="53">
        <v>5.8054594594594583E-2</v>
      </c>
      <c r="D73" s="53">
        <v>0.12177940105613401</v>
      </c>
      <c r="E73" s="53">
        <v>0.18608587925495401</v>
      </c>
      <c r="F73" s="53">
        <v>0.15762926330548485</v>
      </c>
      <c r="G73" s="54">
        <v>0.8904042261878613</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5.0780477336164566E-2</v>
      </c>
      <c r="V73" s="53">
        <v>9.2151064103531105E-2</v>
      </c>
      <c r="W73" s="53">
        <v>1.0375036244575058</v>
      </c>
      <c r="X73" s="53">
        <v>0.25451622985825711</v>
      </c>
      <c r="Y73" s="53">
        <v>0.25220531066727753</v>
      </c>
      <c r="Z73" s="53">
        <v>0.31509999999999999</v>
      </c>
    </row>
    <row r="74" spans="1:26">
      <c r="A74" s="3" t="s">
        <v>271</v>
      </c>
      <c r="B74" s="3">
        <v>26</v>
      </c>
      <c r="C74" s="53">
        <v>0.18063052631578944</v>
      </c>
      <c r="D74" s="53">
        <v>4.0773326308846822E-2</v>
      </c>
      <c r="E74" s="53">
        <v>9.8929938052508604E-2</v>
      </c>
      <c r="F74" s="53">
        <v>0.1457769908309445</v>
      </c>
      <c r="G74" s="54">
        <v>1.1326424542436988</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2.2870350403747554E-4</v>
      </c>
      <c r="V74" s="53">
        <v>2.2820227937652104E-2</v>
      </c>
      <c r="W74" s="53">
        <v>0.79447833647214905</v>
      </c>
      <c r="X74" s="53">
        <v>0.1955014547502191</v>
      </c>
      <c r="Y74" s="53">
        <v>0.21744723060022958</v>
      </c>
      <c r="Z74" s="53">
        <v>0.47299999999999998</v>
      </c>
    </row>
    <row r="75" spans="1:26">
      <c r="A75" s="3" t="s">
        <v>272</v>
      </c>
      <c r="B75" s="3">
        <v>14</v>
      </c>
      <c r="C75" s="53">
        <v>6.5912499999999999E-2</v>
      </c>
      <c r="D75" s="53">
        <v>1.996018497543851E-2</v>
      </c>
      <c r="E75" s="53">
        <v>0.10989245466725754</v>
      </c>
      <c r="F75" s="53">
        <v>0.16882275980646591</v>
      </c>
      <c r="G75" s="54">
        <v>0.3479049214687408</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1.1046969695747576E-3</v>
      </c>
      <c r="V75" s="53">
        <v>1.326060238245387E-2</v>
      </c>
      <c r="W75" s="53">
        <v>1.1428223096616057</v>
      </c>
      <c r="X75" s="53">
        <v>0.14777603490447422</v>
      </c>
      <c r="Y75" s="53">
        <v>0.36924015550657879</v>
      </c>
      <c r="Z75" s="53">
        <v>0.19620000000000001</v>
      </c>
    </row>
    <row r="76" spans="1:26">
      <c r="A76" s="3" t="s">
        <v>273</v>
      </c>
      <c r="B76" s="3">
        <v>28</v>
      </c>
      <c r="C76" s="53">
        <v>4.1101851851851841E-2</v>
      </c>
      <c r="D76" s="53">
        <v>0.35009033132520506</v>
      </c>
      <c r="E76" s="53">
        <v>4.458562834006221E-2</v>
      </c>
      <c r="F76" s="53">
        <v>2.5315356319942507E-2</v>
      </c>
      <c r="G76" s="54">
        <v>0.77769046555245314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3.5451473830388706E-2</v>
      </c>
      <c r="V76" s="53">
        <v>-0.26525961554732042</v>
      </c>
      <c r="W76" s="53">
        <v>-0.81803643279498717</v>
      </c>
      <c r="X76" s="53">
        <v>6.523063162826355E-2</v>
      </c>
      <c r="Y76" s="53">
        <v>1.5557235045106812</v>
      </c>
      <c r="Z76" s="53">
        <v>3.56E-2</v>
      </c>
    </row>
    <row r="77" spans="1:26">
      <c r="A77" s="3" t="s">
        <v>274</v>
      </c>
      <c r="B77" s="3">
        <v>105</v>
      </c>
      <c r="C77" s="53">
        <v>0.12071967741935487</v>
      </c>
      <c r="D77" s="53">
        <v>4.7839737029024824E-2</v>
      </c>
      <c r="E77" s="53">
        <v>0.13499345989584943</v>
      </c>
      <c r="F77" s="53">
        <v>9.5347378879633765E-2</v>
      </c>
      <c r="G77" s="54">
        <v>0.92941330150933732</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5.0425815744955832E-4</v>
      </c>
      <c r="V77" s="53">
        <v>2.6622349307585433E-2</v>
      </c>
      <c r="W77" s="53">
        <v>0.55230156249920015</v>
      </c>
      <c r="X77" s="53">
        <v>9.6438784183108986E-2</v>
      </c>
      <c r="Y77" s="53">
        <v>0.8704265485497078</v>
      </c>
      <c r="Z77" s="53">
        <v>0.27029999999999998</v>
      </c>
    </row>
    <row r="78" spans="1:26">
      <c r="A78" s="3" t="s">
        <v>275</v>
      </c>
      <c r="B78" s="3">
        <v>3</v>
      </c>
      <c r="C78" s="53">
        <v>9.0200000000000002E-2</v>
      </c>
      <c r="D78" s="53">
        <v>2.1019124368608658E-2</v>
      </c>
      <c r="E78" s="53">
        <v>3.124092719979871E-2</v>
      </c>
      <c r="F78" s="53">
        <v>0</v>
      </c>
      <c r="G78" s="54">
        <v>0.24398552809377427</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-5.3268306017885516E-3</v>
      </c>
      <c r="V78" s="53">
        <v>7.0628985193991103E-3</v>
      </c>
      <c r="W78" s="53">
        <v>-0.32002680606024081</v>
      </c>
      <c r="X78" s="53">
        <v>-9.9980552314274607E-2</v>
      </c>
      <c r="Y78" s="53" t="e">
        <v>#DIV/0!</v>
      </c>
      <c r="Z78" s="53">
        <v>2.9499999999999998E-2</v>
      </c>
    </row>
    <row r="79" spans="1:26">
      <c r="A79" s="3" t="s">
        <v>276</v>
      </c>
      <c r="B79" s="3">
        <v>63</v>
      </c>
      <c r="C79" s="53">
        <v>6.4411627906976743E-2</v>
      </c>
      <c r="D79" s="53">
        <v>0.19724319548927027</v>
      </c>
      <c r="E79" s="53">
        <v>0.11368358391768708</v>
      </c>
      <c r="F79" s="53">
        <v>4.8865843574454025E-2</v>
      </c>
      <c r="G79" s="54">
        <v>1.4303862229362374</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0.1606080271258418</v>
      </c>
      <c r="V79" s="53">
        <v>6.8986975778472778E-2</v>
      </c>
      <c r="W79" s="53">
        <v>0.49863224477303802</v>
      </c>
      <c r="X79" s="53">
        <v>0.12611876313091647</v>
      </c>
      <c r="Y79" s="53">
        <v>0.48873979408723345</v>
      </c>
      <c r="Z79" s="53">
        <v>0.39729999999999999</v>
      </c>
    </row>
    <row r="80" spans="1:26">
      <c r="A80" s="3" t="s">
        <v>277</v>
      </c>
      <c r="B80" s="3">
        <v>30</v>
      </c>
      <c r="C80" s="53">
        <v>9.9257499999999985E-2</v>
      </c>
      <c r="D80" s="53">
        <v>0.24338040394069302</v>
      </c>
      <c r="E80" s="53">
        <v>0.25683632466511935</v>
      </c>
      <c r="F80" s="53">
        <v>0.12141951160150626</v>
      </c>
      <c r="G80" s="54">
        <v>1.4437617465028647</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1.1627942992143444E-2</v>
      </c>
      <c r="V80" s="53">
        <v>2.6035463292282256E-2</v>
      </c>
      <c r="W80" s="53">
        <v>0.13881169088914808</v>
      </c>
      <c r="X80" s="53">
        <v>0.3289066823779071</v>
      </c>
      <c r="Y80" s="53">
        <v>0.20089988720666727</v>
      </c>
      <c r="Z80" s="53">
        <v>0.60150000000000003</v>
      </c>
    </row>
    <row r="81" spans="1:26">
      <c r="A81" s="3" t="s">
        <v>278</v>
      </c>
      <c r="B81" s="3">
        <v>8</v>
      </c>
      <c r="C81" s="53">
        <v>-6.8033333333333348E-3</v>
      </c>
      <c r="D81" s="53">
        <v>0.11940027650657051</v>
      </c>
      <c r="E81" s="53">
        <v>9.2351394997663441E-2</v>
      </c>
      <c r="F81" s="53">
        <v>6.7377894541316763E-2</v>
      </c>
      <c r="G81" s="54">
        <v>0.66282973364780495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7.1007492284571178E-2</v>
      </c>
      <c r="V81" s="53">
        <v>4.0299197608605203E-2</v>
      </c>
      <c r="W81" s="53">
        <v>0.50270712026329756</v>
      </c>
      <c r="X81" s="53">
        <v>7.817317702121597E-2</v>
      </c>
      <c r="Y81" s="53">
        <v>0.29337528524998274</v>
      </c>
      <c r="Z81" s="53">
        <v>2.69E-2</v>
      </c>
    </row>
    <row r="82" spans="1:26">
      <c r="A82" s="3" t="s">
        <v>279</v>
      </c>
      <c r="B82" s="3">
        <v>13</v>
      </c>
      <c r="C82" s="53">
        <v>0.11491250000000001</v>
      </c>
      <c r="D82" s="53">
        <v>0.12174318911420734</v>
      </c>
      <c r="E82" s="53">
        <v>0.24043080830071734</v>
      </c>
      <c r="F82" s="53">
        <v>0.11308691110175229</v>
      </c>
      <c r="G82" s="54">
        <v>1.2123872841015533</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-2.1254624249029949E-2</v>
      </c>
      <c r="V82" s="53">
        <v>-5.2012497930805967E-3</v>
      </c>
      <c r="W82" s="53">
        <v>-0.20182594713277416</v>
      </c>
      <c r="X82" s="53">
        <v>0.29903214866474775</v>
      </c>
      <c r="Y82" s="53">
        <v>0.32261310697398488</v>
      </c>
      <c r="Z82" s="53">
        <v>0.24390000000000001</v>
      </c>
    </row>
    <row r="83" spans="1:26">
      <c r="A83" s="3" t="s">
        <v>280</v>
      </c>
      <c r="B83" s="3">
        <v>84</v>
      </c>
      <c r="C83" s="53">
        <v>0.17412533333333333</v>
      </c>
      <c r="D83" s="53">
        <v>0.26501387059899334</v>
      </c>
      <c r="E83" s="53">
        <v>0.19944873406255512</v>
      </c>
      <c r="F83" s="53">
        <v>5.1117470447885394E-2</v>
      </c>
      <c r="G83" s="54">
        <v>1.0827308027863589</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9.9365057264658149E-2</v>
      </c>
      <c r="V83" s="53">
        <v>8.7039144070400018E-2</v>
      </c>
      <c r="W83" s="53">
        <v>0.46794430766934031</v>
      </c>
      <c r="X83" s="53">
        <v>0.2325593855621183</v>
      </c>
      <c r="Y83" s="53">
        <v>2.5063968697220758E-3</v>
      </c>
      <c r="Z83" s="53">
        <v>0.1118</v>
      </c>
    </row>
    <row r="84" spans="1:26">
      <c r="A84" s="3" t="s">
        <v>281</v>
      </c>
      <c r="B84" s="3">
        <v>35</v>
      </c>
      <c r="C84" s="53">
        <v>0.22244545454545456</v>
      </c>
      <c r="D84" s="53">
        <v>-2.8960290149232241E-2</v>
      </c>
      <c r="E84" s="53">
        <v>-4.8109532624457758E-3</v>
      </c>
      <c r="F84" s="53">
        <v>2.6055760534544135E-2</v>
      </c>
      <c r="G84" s="54">
        <v>1.4828462085704464</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6.9501945918625185E-2</v>
      </c>
      <c r="V84" s="53">
        <v>2.8310083379424048E-2</v>
      </c>
      <c r="W84" s="53" t="s">
        <v>584</v>
      </c>
      <c r="X84" s="53">
        <v>-0.14540651129197349</v>
      </c>
      <c r="Y84" s="53">
        <v>0</v>
      </c>
      <c r="Z84" s="53">
        <v>1.29E-2</v>
      </c>
    </row>
    <row r="85" spans="1:26">
      <c r="A85" s="3" t="s">
        <v>282</v>
      </c>
      <c r="B85" s="3">
        <v>351</v>
      </c>
      <c r="C85" s="53">
        <v>0.15903337837837828</v>
      </c>
      <c r="D85" s="53">
        <v>0.25342088351580655</v>
      </c>
      <c r="E85" s="53">
        <v>0.23224389866710615</v>
      </c>
      <c r="F85" s="53">
        <v>4.1899256824647825E-2</v>
      </c>
      <c r="G85" s="54">
        <v>1.2364359766677997</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5.5987028224454942E-2</v>
      </c>
      <c r="V85" s="53">
        <v>5.9162106791780016E-2</v>
      </c>
      <c r="W85" s="53">
        <v>0.36380231425923271</v>
      </c>
      <c r="X85" s="53">
        <v>0.24441835382299518</v>
      </c>
      <c r="Y85" s="53">
        <v>0.27220590606666156</v>
      </c>
      <c r="Z85" s="53">
        <v>0.55989999999999995</v>
      </c>
    </row>
    <row r="86" spans="1:26">
      <c r="A86" s="3" t="s">
        <v>283</v>
      </c>
      <c r="B86" s="3">
        <v>29</v>
      </c>
      <c r="C86" s="53">
        <v>7.8733200000000003E-2</v>
      </c>
      <c r="D86" s="53">
        <v>0.12144443633643207</v>
      </c>
      <c r="E86" s="53">
        <v>0.22180836333570431</v>
      </c>
      <c r="F86" s="53">
        <v>0.15721765690237771</v>
      </c>
      <c r="G86" s="54">
        <v>0.97827881248335802</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5.5734411806729507E-2</v>
      </c>
      <c r="V86" s="53">
        <v>4.2105106814159125E-2</v>
      </c>
      <c r="W86" s="53">
        <v>0.15698783414294129</v>
      </c>
      <c r="X86" s="53">
        <v>0.22194709191501236</v>
      </c>
      <c r="Y86" s="53">
        <v>0.12471207785733139</v>
      </c>
      <c r="Z86" s="53">
        <v>9.9000000000000008E-3</v>
      </c>
    </row>
    <row r="87" spans="1:26">
      <c r="A87" s="3" t="s">
        <v>284</v>
      </c>
      <c r="B87" s="3">
        <v>13</v>
      </c>
      <c r="C87" s="53">
        <v>9.2977142857142869E-2</v>
      </c>
      <c r="D87" s="53">
        <v>0.14946263752117678</v>
      </c>
      <c r="E87" s="53">
        <v>6.5483784250289209E-2</v>
      </c>
      <c r="F87" s="53">
        <v>9.5647035061602784E-2</v>
      </c>
      <c r="G87" s="54">
        <v>0.73410341487174247</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3.5152271971679153E-2</v>
      </c>
      <c r="V87" s="53">
        <v>-2.9960671300220164E-3</v>
      </c>
      <c r="W87" s="53">
        <v>0.5510450483030811</v>
      </c>
      <c r="X87" s="53">
        <v>9.7395977513905455E-2</v>
      </c>
      <c r="Y87" s="53">
        <v>0.1104528008925427</v>
      </c>
      <c r="Z87" s="53">
        <v>2E-3</v>
      </c>
    </row>
    <row r="88" spans="1:26">
      <c r="A88" s="3" t="s">
        <v>285</v>
      </c>
      <c r="B88" s="3">
        <v>66</v>
      </c>
      <c r="C88" s="53">
        <v>9.6164489795918393E-2</v>
      </c>
      <c r="D88" s="53">
        <v>0.19835762834581644</v>
      </c>
      <c r="E88" s="53">
        <v>0.28182161892742891</v>
      </c>
      <c r="F88" s="53">
        <v>6.1986014900528949E-2</v>
      </c>
      <c r="G88" s="54">
        <v>0.99530050392662051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3.3473393450261651E-2</v>
      </c>
      <c r="V88" s="53">
        <v>3.9799623411255383E-2</v>
      </c>
      <c r="W88" s="53">
        <v>0.36669384113949066</v>
      </c>
      <c r="X88" s="53">
        <v>0.24550541459231559</v>
      </c>
      <c r="Y88" s="53">
        <v>0.46084832909856577</v>
      </c>
      <c r="Z88" s="53">
        <v>0.48159999999999997</v>
      </c>
    </row>
    <row r="89" spans="1:26">
      <c r="A89" s="3" t="s">
        <v>286</v>
      </c>
      <c r="B89" s="3">
        <v>42</v>
      </c>
      <c r="C89" s="53">
        <v>0.13169956521739129</v>
      </c>
      <c r="D89" s="53">
        <v>0.20983538034393459</v>
      </c>
      <c r="E89" s="53">
        <v>0.11796482606061286</v>
      </c>
      <c r="F89" s="53">
        <v>6.6167707840687123E-2</v>
      </c>
      <c r="G89" s="54">
        <v>0.40504194381693037</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-2.3647204248838035E-2</v>
      </c>
      <c r="V89" s="53">
        <v>2.4292121675182632E-2</v>
      </c>
      <c r="W89" s="53">
        <v>0.20122305244722491</v>
      </c>
      <c r="X89" s="53">
        <v>-3.4470942023052953E-3</v>
      </c>
      <c r="Y89" s="53">
        <v>1.6337690728598522E-3</v>
      </c>
      <c r="Z89" s="53">
        <v>1.2464</v>
      </c>
    </row>
    <row r="90" spans="1:26">
      <c r="A90" s="3" t="s">
        <v>287</v>
      </c>
      <c r="B90" s="3">
        <v>16</v>
      </c>
      <c r="C90" s="53">
        <v>0.34968888888888894</v>
      </c>
      <c r="D90" s="53">
        <v>0.40974371518073172</v>
      </c>
      <c r="E90" s="53">
        <v>0.80360559936791442</v>
      </c>
      <c r="F90" s="53">
        <v>9.9528549065057051E-2</v>
      </c>
      <c r="G90" s="54">
        <v>0.96949770844373462</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1.238721827891767E-2</v>
      </c>
      <c r="V90" s="53">
        <v>0.33428394436606595</v>
      </c>
      <c r="W90" s="53">
        <v>1.17639869037906</v>
      </c>
      <c r="X90" s="53" t="s">
        <v>584</v>
      </c>
      <c r="Y90" s="53">
        <v>0.87984059610405407</v>
      </c>
      <c r="Z90" s="53">
        <v>0.77990000000000004</v>
      </c>
    </row>
    <row r="91" spans="1:26">
      <c r="A91" s="3" t="s">
        <v>288</v>
      </c>
      <c r="B91" s="3">
        <v>110</v>
      </c>
      <c r="C91" s="53">
        <v>7.3925853658536572E-2</v>
      </c>
      <c r="D91" s="53">
        <v>8.4952959674422276E-2</v>
      </c>
      <c r="E91" s="53">
        <v>0.16088390207704553</v>
      </c>
      <c r="F91" s="53">
        <v>6.987537743227136E-2</v>
      </c>
      <c r="G91" s="54">
        <v>0.81033785567634131</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2.2628756627930156E-2</v>
      </c>
      <c r="V91" s="53">
        <v>4.7919479861607203E-2</v>
      </c>
      <c r="W91" s="53">
        <v>0.72064765595835767</v>
      </c>
      <c r="X91" s="53">
        <v>0.22056294610433705</v>
      </c>
      <c r="Y91" s="53">
        <v>1.0930209138910143</v>
      </c>
      <c r="Z91" s="53">
        <v>0.52559999999999996</v>
      </c>
    </row>
    <row r="92" spans="1:26">
      <c r="A92" s="3" t="s">
        <v>289</v>
      </c>
      <c r="B92" s="3">
        <v>4</v>
      </c>
      <c r="C92" s="53">
        <v>2.4899999999999999E-2</v>
      </c>
      <c r="D92" s="53">
        <v>0.34954738832459115</v>
      </c>
      <c r="E92" s="53">
        <v>0.14261953361631199</v>
      </c>
      <c r="F92" s="53">
        <v>0.17280266163132788</v>
      </c>
      <c r="G92" s="54">
        <v>0.84696313530719947</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4.4470443723626116E-2</v>
      </c>
      <c r="V92" s="53">
        <v>5.5988647445286678E-2</v>
      </c>
      <c r="W92" s="53">
        <v>0.22178443078565843</v>
      </c>
      <c r="X92" s="53">
        <v>0.31677945078582531</v>
      </c>
      <c r="Y92" s="53">
        <v>0.43519528152260112</v>
      </c>
      <c r="Z92" s="53">
        <v>0.40550000000000003</v>
      </c>
    </row>
    <row r="93" spans="1:26">
      <c r="A93" s="3" t="s">
        <v>290</v>
      </c>
      <c r="B93" s="3">
        <v>22</v>
      </c>
      <c r="C93" s="53">
        <v>6.1907222222222238E-2</v>
      </c>
      <c r="D93" s="53">
        <v>8.7662475886066932E-2</v>
      </c>
      <c r="E93" s="53">
        <v>0.12748742307030905</v>
      </c>
      <c r="F93" s="53">
        <v>0.20207990873604598</v>
      </c>
      <c r="G93" s="54">
        <v>0.99893740752344029</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-8.6707710315732031E-2</v>
      </c>
      <c r="V93" s="53">
        <v>9.0980370277753131E-2</v>
      </c>
      <c r="W93" s="53">
        <v>1.2178075170479361</v>
      </c>
      <c r="X93" s="53">
        <v>0.12974692001389668</v>
      </c>
      <c r="Y93" s="53">
        <v>0.17362718846549949</v>
      </c>
      <c r="Z93" s="53">
        <v>0.107</v>
      </c>
    </row>
    <row r="94" spans="1:26">
      <c r="A94" s="3" t="s">
        <v>291</v>
      </c>
      <c r="B94" s="3">
        <v>14</v>
      </c>
      <c r="C94" s="53">
        <v>4.3404999999999999E-2</v>
      </c>
      <c r="D94" s="53">
        <v>0.21641469675660061</v>
      </c>
      <c r="E94" s="53">
        <v>6.4731399544339846E-2</v>
      </c>
      <c r="F94" s="53">
        <v>0.1405010662826639</v>
      </c>
      <c r="G94" s="54">
        <v>0.35473049718815236</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0.19896841700046131</v>
      </c>
      <c r="V94" s="53">
        <v>0.25906870978152774</v>
      </c>
      <c r="W94" s="53">
        <v>1.5052569708950143</v>
      </c>
      <c r="X94" s="53">
        <v>0.11153676746474966</v>
      </c>
      <c r="Y94" s="53">
        <v>0.58882821831655419</v>
      </c>
      <c r="Z94" s="53">
        <v>0.76529999999999998</v>
      </c>
    </row>
    <row r="95" spans="1:26">
      <c r="A95" s="3" t="s">
        <v>292</v>
      </c>
      <c r="B95" s="3">
        <v>13</v>
      </c>
      <c r="C95" s="53">
        <v>0.1084909090909091</v>
      </c>
      <c r="D95" s="53">
        <v>0.30680997617385836</v>
      </c>
      <c r="E95" s="53">
        <v>8.4062309144149125E-2</v>
      </c>
      <c r="F95" s="53">
        <v>0.11091729369959376</v>
      </c>
      <c r="G95" s="54">
        <v>0.5167327711975247</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0.96620245487575274</v>
      </c>
      <c r="V95" s="53">
        <v>0.40175099691053662</v>
      </c>
      <c r="W95" s="53">
        <v>1.4950509635847589</v>
      </c>
      <c r="X95" s="53">
        <v>0.15979158800682633</v>
      </c>
      <c r="Y95" s="53">
        <v>0.39244972646773968</v>
      </c>
      <c r="Z95" s="53">
        <v>0.55779999999999996</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election sqref="A1:XFD1048576"/>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7.9970811505936296E-2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-8.9523825484201739E-3</v>
      </c>
      <c r="V2" s="53">
        <v>1.7319182249018784E-3</v>
      </c>
      <c r="W2" s="103">
        <v>0.25114078027496484</v>
      </c>
      <c r="X2" s="53">
        <v>7.5356549690505092E-2</v>
      </c>
      <c r="Y2" s="53">
        <v>0.76013580051126117</v>
      </c>
      <c r="Z2" s="103">
        <v>0.34229999999999999</v>
      </c>
    </row>
    <row r="3" spans="1:26">
      <c r="A3" s="3" t="s">
        <v>200</v>
      </c>
      <c r="B3" s="3">
        <v>289</v>
      </c>
      <c r="C3" s="53">
        <v>9.3095680473372799E-2</v>
      </c>
      <c r="D3" s="103">
        <v>8.0040352612991042E-2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1.2612646382451399E-2</v>
      </c>
      <c r="V3" s="53">
        <v>2.1536227284770421E-2</v>
      </c>
      <c r="W3" s="103">
        <v>0.40167246380722366</v>
      </c>
      <c r="X3" s="53">
        <v>0.14143383047792696</v>
      </c>
      <c r="Y3" s="53">
        <v>0.44958156371112074</v>
      </c>
      <c r="Z3" s="103">
        <v>0.76280000000000003</v>
      </c>
    </row>
    <row r="4" spans="1:26">
      <c r="A4" s="3" t="s">
        <v>201</v>
      </c>
      <c r="B4" s="3">
        <v>155</v>
      </c>
      <c r="C4" s="53">
        <v>2.4834959999999993E-2</v>
      </c>
      <c r="D4" s="103">
        <v>7.2167087199235175E-2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-2.1550757358998661E-2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0.14800239414124869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6.7615443487588939E-2</v>
      </c>
      <c r="V5" s="53">
        <v>3.4267562712317463E-2</v>
      </c>
      <c r="W5" s="103">
        <v>0.52147230642361864</v>
      </c>
      <c r="X5" s="53">
        <v>0.17062717492423177</v>
      </c>
      <c r="Y5" s="53">
        <v>0.42378359803405485</v>
      </c>
      <c r="Z5" s="103">
        <v>0.64700000000000002</v>
      </c>
    </row>
    <row r="6" spans="1:26">
      <c r="A6" s="3" t="s">
        <v>203</v>
      </c>
      <c r="B6" s="3">
        <v>165</v>
      </c>
      <c r="C6" s="53">
        <v>8.1321568627451005E-2</v>
      </c>
      <c r="D6" s="103">
        <v>7.5747458250856214E-2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3.0356457541861143E-2</v>
      </c>
      <c r="V6" s="53">
        <v>3.4611750465439226E-2</v>
      </c>
      <c r="W6" s="103">
        <v>0.70382133445662309</v>
      </c>
      <c r="X6" s="53">
        <v>0.14502972145556844</v>
      </c>
      <c r="Y6" s="53">
        <v>0.26552011184291902</v>
      </c>
      <c r="Z6" s="103">
        <v>0.79990000000000006</v>
      </c>
    </row>
    <row r="7" spans="1:26">
      <c r="A7" s="3" t="s">
        <v>204</v>
      </c>
      <c r="B7" s="3">
        <v>761</v>
      </c>
      <c r="C7" s="53">
        <v>6.8719931740614457E-2</v>
      </c>
      <c r="D7" s="103">
        <v>5.0299970070420363E-2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2.6259069392558291E-2</v>
      </c>
      <c r="V7" s="53">
        <v>3.8473888094413308E-2</v>
      </c>
      <c r="W7" s="103">
        <v>1.1613589310967309</v>
      </c>
      <c r="X7" s="53">
        <v>7.5788200409424869E-2</v>
      </c>
      <c r="Y7" s="53">
        <v>0.41658239132927549</v>
      </c>
      <c r="Z7" s="103">
        <v>1.2312000000000001</v>
      </c>
    </row>
    <row r="8" spans="1:26">
      <c r="A8" s="3" t="s">
        <v>205</v>
      </c>
      <c r="B8" s="3">
        <v>607</v>
      </c>
      <c r="C8" s="53">
        <v>0.12026280219780222</v>
      </c>
      <c r="D8" s="103">
        <v>3.1045979065866813E-3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3.1613624335839467E-2</v>
      </c>
      <c r="V8" s="53">
        <v>5.0798671170112046E-2</v>
      </c>
      <c r="W8" s="103">
        <v>19.575019416478412</v>
      </c>
      <c r="X8" s="53">
        <v>0.12654306384811947</v>
      </c>
      <c r="Y8" s="53">
        <v>0.3069542161513743</v>
      </c>
      <c r="Z8" s="103">
        <v>33.143700000000003</v>
      </c>
    </row>
    <row r="9" spans="1:26">
      <c r="A9" s="3" t="s">
        <v>206</v>
      </c>
      <c r="B9" s="3">
        <v>881</v>
      </c>
      <c r="C9" s="53">
        <v>8.4004418282548593E-2</v>
      </c>
      <c r="D9" s="103">
        <v>-9.921603095124007E-4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7.984463977211817E-2</v>
      </c>
      <c r="V9" s="53">
        <v>-4.2662562656123115E-2</v>
      </c>
      <c r="W9" s="103" t="s">
        <v>584</v>
      </c>
      <c r="X9" s="53">
        <v>9.8266834992314978E-2</v>
      </c>
      <c r="Y9" s="53">
        <v>0.29089509088479176</v>
      </c>
      <c r="Z9" s="103" t="s">
        <v>584</v>
      </c>
    </row>
    <row r="10" spans="1:26">
      <c r="A10" s="3" t="s">
        <v>207</v>
      </c>
      <c r="B10" s="3">
        <v>220</v>
      </c>
      <c r="C10" s="53">
        <v>8.2478474576271152E-2</v>
      </c>
      <c r="D10" s="103">
        <v>0.21718353208950997</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3.8145715766077009E-3</v>
      </c>
      <c r="V10" s="53">
        <v>2.917893619654361E-2</v>
      </c>
      <c r="W10" s="103">
        <v>0.39674912424489028</v>
      </c>
      <c r="X10" s="53">
        <v>0.16528003825197413</v>
      </c>
      <c r="Y10" s="53">
        <v>0.44614569767062995</v>
      </c>
      <c r="Z10" s="103">
        <v>0.1336</v>
      </c>
    </row>
    <row r="11" spans="1:26">
      <c r="A11" s="3" t="s">
        <v>208</v>
      </c>
      <c r="B11" s="3">
        <v>100</v>
      </c>
      <c r="C11" s="53">
        <v>0.13106444444444451</v>
      </c>
      <c r="D11" s="103">
        <v>0.16773378772097294</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4.1359988705378374E-2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9.8674866264906513E-2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1.536153808767424E-2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1.1522730584891292E-2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-2.3799526575878373E-3</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0.10736343118433062</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3.2959674260180927E-2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9.2564518859037354E-2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1.8732578896551822E-2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0.1825942079762046</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-1.1778116070334552E-2</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4.6801270581146581E-2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5.9890191714082858E-2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6.6286967414994458E-2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2.3175042368213269E-2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0.11994484650271643</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4.6584219137677074E-2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0.24035556325938898</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3.7949460245922946E-2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7.6629946290368345E-2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1.2408356424096047E-2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0.11402542116121527</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3.2827286518238762E-2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9.8604525892320549E-2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3.5796678594107754E-2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0.16207583758698121</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3.5727032438049547E-2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-5.5459639223816928E-3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0.13788348638401227</v>
      </c>
      <c r="V25" s="53">
        <v>9.623601001085437E-2</v>
      </c>
      <c r="W25" s="103" t="s">
        <v>584</v>
      </c>
      <c r="X25" s="53">
        <v>-8.8267685401764287E-2</v>
      </c>
      <c r="Y25" s="53">
        <v>4.660050948575847E-3</v>
      </c>
      <c r="Z25" s="103">
        <v>2.4076</v>
      </c>
    </row>
    <row r="26" spans="1:26">
      <c r="A26" s="3" t="s">
        <v>223</v>
      </c>
      <c r="B26" s="3">
        <v>1299</v>
      </c>
      <c r="C26" s="53">
        <v>0.18011462915601037</v>
      </c>
      <c r="D26" s="103">
        <v>0.18172401555616843</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5.7433549769644821E-2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0.10846568351673097</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0.15324854351350051</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7.165867201753312E-2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6.3184219099487335E-2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4.6775343509256419E-2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6.5461285299230287E-2</v>
      </c>
      <c r="V29" s="53">
        <v>2.6957624809844108E-2</v>
      </c>
      <c r="W29" s="103">
        <v>0.87121609949845347</v>
      </c>
      <c r="X29" s="53">
        <v>7.3103505235122948E-2</v>
      </c>
      <c r="Y29" s="53">
        <v>0.32240989273865533</v>
      </c>
      <c r="Z29" s="103">
        <v>1.3365</v>
      </c>
    </row>
    <row r="30" spans="1:26">
      <c r="A30" s="3" t="s">
        <v>227</v>
      </c>
      <c r="B30" s="3">
        <v>1486</v>
      </c>
      <c r="C30" s="53">
        <v>5.8386102941176465E-2</v>
      </c>
      <c r="D30" s="103">
        <v>5.3154603096729237E-2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6.341272234412805E-2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5.7051652491607867E-2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2.6091027382896672E-2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7.1403858833578804E-2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2.7075856672277476E-2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0.10703140650226603</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0.10751660160840347</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8.2522963339118141E-2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3.2607347700619203E-2</v>
      </c>
      <c r="V34" s="53">
        <v>2.7119979747894662E-2</v>
      </c>
      <c r="W34" s="103">
        <v>0.59827152032280362</v>
      </c>
      <c r="X34" s="53">
        <v>0.14471013504560329</v>
      </c>
      <c r="Y34" s="53">
        <v>0.33023374015623391</v>
      </c>
      <c r="Z34" s="103">
        <v>1.5225</v>
      </c>
    </row>
    <row r="35" spans="1:26">
      <c r="A35" s="3" t="s">
        <v>232</v>
      </c>
      <c r="B35" s="3">
        <v>1258</v>
      </c>
      <c r="C35" s="53">
        <v>0.12562276102088155</v>
      </c>
      <c r="D35" s="103">
        <v>0.12699179078704831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6.6354678402591447E-2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7.7057899571405686E-2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3.9433834241671337E-2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2.465510737827644E-2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1.2407395934016071E-2</v>
      </c>
      <c r="V37" s="53">
        <v>9.0395737255761013E-3</v>
      </c>
      <c r="W37" s="103">
        <v>0.48474528312897769</v>
      </c>
      <c r="X37" s="53">
        <v>8.9141667937208555E-2</v>
      </c>
      <c r="Y37" s="53">
        <v>0.56945565182432534</v>
      </c>
      <c r="Z37" s="103">
        <v>0.6089</v>
      </c>
    </row>
    <row r="38" spans="1:26">
      <c r="A38" s="3" t="s">
        <v>235</v>
      </c>
      <c r="B38" s="3">
        <v>383</v>
      </c>
      <c r="C38" s="53">
        <v>5.1528208955223892E-2</v>
      </c>
      <c r="D38" s="103">
        <v>7.2932416188093707E-2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2.4921896152994241E-2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0.29104956132609144</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0.25434296265623013</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0.12495644070464412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9.7684912210769165E-2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3.9054208751108446E-2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1.5410618551876044E-2</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0.13632577050135741</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0.18777212825730508</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0.12794609050462979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5.5436818757800353E-3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0.10761310643119647</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3.7465617423834127E-2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0.12148517283912517</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8.1575691891312072E-3</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0.16660125121747063</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2.1690463776742441E-2</v>
      </c>
      <c r="V46" s="53">
        <v>1.3238666896878337E-2</v>
      </c>
      <c r="W46" s="103">
        <v>7.0553053513611574E-2</v>
      </c>
      <c r="X46" s="53">
        <v>0.26800939213262565</v>
      </c>
      <c r="Y46" s="53">
        <v>0.65689100844343251</v>
      </c>
      <c r="Z46" s="103">
        <v>0.3548</v>
      </c>
    </row>
    <row r="47" spans="1:26">
      <c r="A47" s="3" t="s">
        <v>244</v>
      </c>
      <c r="B47" s="3">
        <v>81</v>
      </c>
      <c r="C47" s="53">
        <v>2.0683617021276589E-2</v>
      </c>
      <c r="D47" s="103">
        <v>0.11283966813223123</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4.094854330100154E-2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0.11840540179390673</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1.2234780105357555E-3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0.10832802165624872</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6.0496076868057202E-3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9.7921920811046684E-2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1.293375445952712E-2</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0.1751608622389734</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4.1675217813524415E-2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9.9654861688777852E-2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3.0665116726434054E-2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0.10682417967215141</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3.024735011445874E-2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7.1825402418636691E-2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4.9158187660709347E-2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0.18376015438632376</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-9.8096557657455698E-3</v>
      </c>
      <c r="V55" s="53">
        <v>1.7882863221327785E-2</v>
      </c>
      <c r="W55" s="103">
        <v>0.1470972992362721</v>
      </c>
      <c r="X55" s="53">
        <v>0.21117990075672649</v>
      </c>
      <c r="Y55" s="53">
        <v>0.48938589191024878</v>
      </c>
      <c r="Z55" s="103">
        <v>0.3679</v>
      </c>
    </row>
    <row r="56" spans="1:26">
      <c r="A56" s="3" t="s">
        <v>253</v>
      </c>
      <c r="B56" s="3">
        <v>590</v>
      </c>
      <c r="C56" s="53">
        <v>0.26669155223880614</v>
      </c>
      <c r="D56" s="103">
        <v>0.36579614407040528</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4.4157296385609144E-3</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0.20734150600747464</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3.6244249060791482E-2</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6.7723004922763827E-2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1.1806387985840473E-2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9.2100665070800974E-2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4.1475264956616818E-2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6.560906858101441E-2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3.6077619245513594E-2</v>
      </c>
      <c r="V60" s="53">
        <v>6.8286821802886769E-2</v>
      </c>
      <c r="W60" s="103">
        <v>1.5270401595610297</v>
      </c>
      <c r="X60" s="53">
        <v>6.4685812884941685E-2</v>
      </c>
      <c r="Y60" s="53">
        <v>0.55881830017691447</v>
      </c>
      <c r="Z60" s="103">
        <v>0.6855</v>
      </c>
    </row>
    <row r="61" spans="1:26">
      <c r="A61" s="3" t="s">
        <v>258</v>
      </c>
      <c r="B61" s="3">
        <v>488</v>
      </c>
      <c r="C61" s="53">
        <v>0.10553491271820446</v>
      </c>
      <c r="D61" s="103">
        <v>0.13545386299033174</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8.65556336773117E-2</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0.11742568501154065</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0.1009003571940405</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7.3706153044760345E-2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2.9516992667007955E-2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0.28378893750675827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0.10141562264381192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5.003106735539483E-2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2.4398704395905024E-2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0.15690844405910573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6.8333546742019136E-2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0.17580466096683892</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7.1596634293824346E-2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0.1065059598249231</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3.2231860470796538E-3</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0.10227896161981583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8.3789699118327569E-3</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8.6070239594232878E-2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1.7103545883623797E-3</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4.3638598644988959E-2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2.1151850997237289E-2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0.1072975132310202</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2.4358239196111704E-2</v>
      </c>
      <c r="V72" s="53">
        <v>8.4592894467163497E-3</v>
      </c>
      <c r="W72" s="103">
        <v>5.8794934852472613E-2</v>
      </c>
      <c r="X72" s="53">
        <v>0.85228172803753866</v>
      </c>
      <c r="Y72" s="53">
        <v>0.47316731981227755</v>
      </c>
      <c r="Z72" s="103">
        <v>0.1226</v>
      </c>
    </row>
    <row r="73" spans="1:26">
      <c r="A73" s="3" t="s">
        <v>270</v>
      </c>
      <c r="B73" s="3">
        <v>1028</v>
      </c>
      <c r="C73" s="53">
        <v>0.10370086657496563</v>
      </c>
      <c r="D73" s="103">
        <v>5.257025017393531E-2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2.3832681878767144E-2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4.1225629886524805E-2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3.8148259971067088E-3</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3.8245752496009151E-2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2.5860874767432901E-2</v>
      </c>
      <c r="V75" s="53">
        <v>9.885347371725476E-3</v>
      </c>
      <c r="W75" s="103">
        <v>0.30008433336189916</v>
      </c>
      <c r="X75" s="53">
        <v>0.10054514265836895</v>
      </c>
      <c r="Y75" s="53">
        <v>0.50215049989591976</v>
      </c>
      <c r="Z75" s="103">
        <v>0.4995</v>
      </c>
    </row>
    <row r="76" spans="1:26">
      <c r="A76" s="3" t="s">
        <v>273</v>
      </c>
      <c r="B76" s="3">
        <v>123</v>
      </c>
      <c r="C76" s="53">
        <v>5.323048543689321E-2</v>
      </c>
      <c r="D76" s="103">
        <v>0.47495251937020694</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7.9897119747193407E-2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5.163999170190553E-2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5.4898945547292711E-4</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8.8127730601018903E-2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2.9239237779639861E-2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0.16333337354114627</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9.4756741586764795E-2</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0.21891348855171655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5.0545201595371E-2</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0.17205436027229504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3.9902396104123709E-2</v>
      </c>
      <c r="V81" s="53">
        <v>5.447159926448495E-2</v>
      </c>
      <c r="W81" s="103">
        <v>0.15408897103284014</v>
      </c>
      <c r="X81" s="53">
        <v>0.13643801936112437</v>
      </c>
      <c r="Y81" s="53">
        <v>0.98443637265788042</v>
      </c>
      <c r="Z81" s="103">
        <v>1.8086</v>
      </c>
    </row>
    <row r="82" spans="1:26">
      <c r="A82" s="3" t="s">
        <v>279</v>
      </c>
      <c r="B82" s="3">
        <v>85</v>
      </c>
      <c r="C82" s="53">
        <v>-1.5779047619047627E-2</v>
      </c>
      <c r="D82" s="103">
        <v>9.6796343029948023E-2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-1.4156320428161111E-3</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0.24169564788870879</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7.6924430416947298E-2</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-1.2954327921633164E-4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9.6402675767557552E-2</v>
      </c>
      <c r="V84" s="53">
        <v>3.3495177178797853E-2</v>
      </c>
      <c r="W84" s="103" t="s">
        <v>584</v>
      </c>
      <c r="X84" s="53">
        <v>-0.1000445714406943</v>
      </c>
      <c r="Y84" s="53">
        <v>3.7426538106636142E-3</v>
      </c>
      <c r="Z84" s="103">
        <v>2.8454999999999999</v>
      </c>
    </row>
    <row r="85" spans="1:26">
      <c r="A85" s="3" t="s">
        <v>282</v>
      </c>
      <c r="B85" s="3">
        <v>1616</v>
      </c>
      <c r="C85" s="53">
        <v>0.14317631639722875</v>
      </c>
      <c r="D85" s="103">
        <v>0.20298274566458832</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0.15468778387373933</v>
      </c>
      <c r="V85" s="53">
        <v>5.8858352723089355E-2</v>
      </c>
      <c r="W85" s="103">
        <v>0.47630101656615403</v>
      </c>
      <c r="X85" s="53">
        <v>0.16957095297200744</v>
      </c>
      <c r="Y85" s="53">
        <v>0.32891322539673207</v>
      </c>
      <c r="Z85" s="103">
        <v>0.89</v>
      </c>
    </row>
    <row r="86" spans="1:26">
      <c r="A86" s="3" t="s">
        <v>283</v>
      </c>
      <c r="B86" s="3">
        <v>718</v>
      </c>
      <c r="C86" s="53">
        <v>8.9877693761814953E-2</v>
      </c>
      <c r="D86" s="103">
        <v>7.1953279154266442E-2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3.1576044068549095E-2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0.14363733622497779</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-4.8848706537620171E-3</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0.11104279290678641</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5.5885499621082552E-2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0.15496235461394561</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-6.0283538442271873E-4</v>
      </c>
      <c r="V89" s="53">
        <v>-1.4085192899059247E-2</v>
      </c>
      <c r="W89" s="103">
        <v>-3.2843039502150062E-2</v>
      </c>
      <c r="X89" s="53">
        <v>7.7965825034148964E-2</v>
      </c>
      <c r="Y89" s="53">
        <v>0.89726292934699314</v>
      </c>
      <c r="Z89" s="103">
        <v>0.1409</v>
      </c>
    </row>
    <row r="90" spans="1:26">
      <c r="A90" s="3" t="s">
        <v>287</v>
      </c>
      <c r="B90" s="3">
        <v>56</v>
      </c>
      <c r="C90" s="53">
        <v>0.17277631578947372</v>
      </c>
      <c r="D90" s="103">
        <v>0.33820878781268088</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-3.9573561387867613E-2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8.1986822911340643E-2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1.2482659556912757E-2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0.21558077960900676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0.1203793615216346</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8.807371556649024E-2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4.1274743550647898E-2</v>
      </c>
      <c r="V93" s="53">
        <v>7.0906288771700826E-2</v>
      </c>
      <c r="W93" s="103">
        <v>1.0534268769842428</v>
      </c>
      <c r="X93" s="53">
        <v>0.12020693727190154</v>
      </c>
      <c r="Y93" s="53">
        <v>0.20666338943773319</v>
      </c>
      <c r="Z93" s="103">
        <v>1.2805</v>
      </c>
    </row>
    <row r="94" spans="1:26">
      <c r="A94" s="3" t="s">
        <v>291</v>
      </c>
      <c r="B94" s="3">
        <v>50</v>
      </c>
      <c r="C94" s="53">
        <v>7.822044444444444E-2</v>
      </c>
      <c r="D94" s="103">
        <v>0.12231260144390178</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9.3012239371143265E-2</v>
      </c>
      <c r="V94" s="53">
        <v>7.7470213531287552E-2</v>
      </c>
      <c r="W94" s="103">
        <v>0.78421627401339178</v>
      </c>
      <c r="X94" s="53">
        <v>0.10614481878166143</v>
      </c>
      <c r="Y94" s="53">
        <v>0.66703361608745293</v>
      </c>
      <c r="Z94" s="103">
        <v>0.749</v>
      </c>
    </row>
    <row r="95" spans="1:26">
      <c r="A95" s="3" t="s">
        <v>292</v>
      </c>
      <c r="B95" s="3">
        <v>102</v>
      </c>
      <c r="C95" s="53">
        <v>6.4320126582278495E-2</v>
      </c>
      <c r="D95" s="103">
        <v>0.23252182611504202</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0.14186564829322693</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29" activePane="bottomLeft" state="frozen"/>
      <selection pane="bottomLeft" activeCell="B159" sqref="B15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5.4520043164007208E-2</v>
      </c>
      <c r="E2" s="53">
        <v>8.5200431640072103E-3</v>
      </c>
      <c r="F2" s="53">
        <v>0.15</v>
      </c>
      <c r="G2" s="3" t="s">
        <v>38</v>
      </c>
      <c r="K2" s="58"/>
    </row>
    <row r="3" spans="1:11">
      <c r="A3" s="3" t="s">
        <v>39</v>
      </c>
      <c r="B3" s="3">
        <v>13.04</v>
      </c>
      <c r="C3" s="53">
        <v>5.5078211009174309E-2</v>
      </c>
      <c r="D3" s="53">
        <f>$D$148+E3</f>
        <v>0.12369467932892289</v>
      </c>
      <c r="E3" s="53">
        <v>7.7694679328922892E-2</v>
      </c>
      <c r="F3" s="53">
        <v>0.15</v>
      </c>
      <c r="G3" s="3" t="s">
        <v>40</v>
      </c>
      <c r="K3" s="58"/>
    </row>
    <row r="4" spans="1:11">
      <c r="A4" s="3" t="s">
        <v>590</v>
      </c>
      <c r="B4" s="3">
        <v>3.01</v>
      </c>
      <c r="C4" s="53">
        <v>2.3296788990825688E-2</v>
      </c>
      <c r="D4" s="53">
        <f t="shared" ref="D4:D67" si="0">$D$148+E4</f>
        <v>7.8863023632599227E-2</v>
      </c>
      <c r="E4" s="53">
        <v>3.2863023632599235E-2</v>
      </c>
      <c r="F4" s="53">
        <v>0.1</v>
      </c>
      <c r="G4" s="3" t="s">
        <v>42</v>
      </c>
      <c r="K4" s="58"/>
    </row>
    <row r="5" spans="1:11">
      <c r="A5" s="3" t="s">
        <v>43</v>
      </c>
      <c r="B5" s="3">
        <v>124.21</v>
      </c>
      <c r="C5" s="53">
        <v>7.9525458715596339E-2</v>
      </c>
      <c r="D5" s="53">
        <f t="shared" si="0"/>
        <v>0.15818056832609495</v>
      </c>
      <c r="E5" s="53">
        <v>0.11218056832609494</v>
      </c>
      <c r="F5" s="53">
        <v>0.25</v>
      </c>
      <c r="G5" s="3" t="s">
        <v>44</v>
      </c>
      <c r="K5" s="58"/>
    </row>
    <row r="6" spans="1:11">
      <c r="A6" s="3" t="s">
        <v>45</v>
      </c>
      <c r="B6" s="3">
        <v>637.59</v>
      </c>
      <c r="C6" s="53">
        <v>0.14682729357798166</v>
      </c>
      <c r="D6" s="53">
        <f t="shared" si="0"/>
        <v>0.25311819215360387</v>
      </c>
      <c r="E6" s="53">
        <v>0.20711819215360386</v>
      </c>
      <c r="F6" s="53">
        <v>0.35</v>
      </c>
      <c r="G6" s="3" t="s">
        <v>46</v>
      </c>
      <c r="K6" s="58"/>
    </row>
    <row r="7" spans="1:11">
      <c r="A7" s="3" t="s">
        <v>47</v>
      </c>
      <c r="B7" s="3">
        <v>11.54</v>
      </c>
      <c r="C7" s="53">
        <v>4.4005045871559637E-2</v>
      </c>
      <c r="D7" s="53">
        <f t="shared" si="0"/>
        <v>0.10807460019490968</v>
      </c>
      <c r="E7" s="53">
        <v>6.2074600194909679E-2</v>
      </c>
      <c r="F7" s="53">
        <v>0.18</v>
      </c>
      <c r="G7" s="3" t="s">
        <v>40</v>
      </c>
      <c r="K7" s="58"/>
    </row>
    <row r="8" spans="1:11">
      <c r="A8" s="3" t="s">
        <v>48</v>
      </c>
      <c r="B8" s="3">
        <v>3</v>
      </c>
      <c r="C8" s="53">
        <v>2.3296788990825688E-2</v>
      </c>
      <c r="D8" s="53">
        <f t="shared" si="0"/>
        <v>7.8863023632599227E-2</v>
      </c>
      <c r="E8" s="53">
        <v>3.2863023632599235E-2</v>
      </c>
      <c r="F8" s="53">
        <v>0.25</v>
      </c>
      <c r="G8" s="3" t="s">
        <v>49</v>
      </c>
      <c r="K8" s="58"/>
    </row>
    <row r="9" spans="1:11">
      <c r="A9" s="3" t="s">
        <v>50</v>
      </c>
      <c r="B9" s="3">
        <v>1323.42</v>
      </c>
      <c r="C9" s="53">
        <v>0</v>
      </c>
      <c r="D9" s="53">
        <f t="shared" si="0"/>
        <v>4.5999999999999999E-2</v>
      </c>
      <c r="E9" s="53">
        <v>0</v>
      </c>
      <c r="F9" s="53">
        <v>0.3</v>
      </c>
      <c r="G9" s="3" t="s">
        <v>51</v>
      </c>
      <c r="K9" s="58"/>
    </row>
    <row r="10" spans="1:11">
      <c r="A10" s="3" t="s">
        <v>52</v>
      </c>
      <c r="B10" s="3">
        <v>416.6</v>
      </c>
      <c r="C10" s="53">
        <v>4.8894495412844033E-3</v>
      </c>
      <c r="D10" s="53">
        <f t="shared" si="0"/>
        <v>5.2897177799434404E-2</v>
      </c>
      <c r="E10" s="53">
        <v>6.8971777994344076E-3</v>
      </c>
      <c r="F10" s="53">
        <v>0.24</v>
      </c>
      <c r="G10" s="3" t="s">
        <v>42</v>
      </c>
      <c r="K10" s="58"/>
    </row>
    <row r="11" spans="1:11">
      <c r="A11" s="3" t="s">
        <v>53</v>
      </c>
      <c r="B11" s="3">
        <v>40.75</v>
      </c>
      <c r="C11" s="53">
        <v>3.0630963302752296E-2</v>
      </c>
      <c r="D11" s="53">
        <f t="shared" si="0"/>
        <v>8.9208790331750859E-2</v>
      </c>
      <c r="E11" s="53">
        <v>4.3208790331750853E-2</v>
      </c>
      <c r="F11" s="53">
        <v>0.2</v>
      </c>
      <c r="G11" s="3" t="s">
        <v>40</v>
      </c>
      <c r="K11" s="58"/>
    </row>
    <row r="12" spans="1:11">
      <c r="A12" s="3" t="s">
        <v>54</v>
      </c>
      <c r="B12" s="3">
        <v>12.16</v>
      </c>
      <c r="C12" s="53">
        <v>5.5078211009174309E-2</v>
      </c>
      <c r="D12" s="53">
        <f t="shared" si="0"/>
        <v>0.12369467932892289</v>
      </c>
      <c r="E12" s="53">
        <v>7.7694679328922892E-2</v>
      </c>
      <c r="F12" s="53">
        <v>0</v>
      </c>
      <c r="G12" s="3" t="s">
        <v>49</v>
      </c>
      <c r="K12" s="58"/>
    </row>
    <row r="13" spans="1:11">
      <c r="A13" s="3" t="s">
        <v>55</v>
      </c>
      <c r="B13" s="3">
        <v>35.31</v>
      </c>
      <c r="C13" s="53">
        <v>6.7301834862385335E-2</v>
      </c>
      <c r="D13" s="53">
        <f t="shared" si="0"/>
        <v>0.14093762382750893</v>
      </c>
      <c r="E13" s="53">
        <v>9.4937623827508935E-2</v>
      </c>
      <c r="F13" s="53">
        <v>0</v>
      </c>
      <c r="G13" s="3" t="s">
        <v>38</v>
      </c>
      <c r="K13" s="58"/>
    </row>
    <row r="14" spans="1:11">
      <c r="A14" s="3" t="s">
        <v>56</v>
      </c>
      <c r="B14" s="3">
        <v>249.72</v>
      </c>
      <c r="C14" s="53">
        <v>4.4005045871559637E-2</v>
      </c>
      <c r="D14" s="53">
        <f t="shared" si="0"/>
        <v>0.10807460019490968</v>
      </c>
      <c r="E14" s="53">
        <v>6.2074600194909679E-2</v>
      </c>
      <c r="F14" s="53">
        <v>0.32500000000000001</v>
      </c>
      <c r="G14" s="3" t="s">
        <v>57</v>
      </c>
      <c r="K14" s="58"/>
    </row>
    <row r="15" spans="1:11">
      <c r="A15" s="3" t="s">
        <v>58</v>
      </c>
      <c r="B15" s="3">
        <v>4.8</v>
      </c>
      <c r="C15" s="53">
        <v>9.1749082568807344E-2</v>
      </c>
      <c r="D15" s="53">
        <f t="shared" si="0"/>
        <v>0.17542351282468094</v>
      </c>
      <c r="E15" s="53">
        <v>0.12942351282468095</v>
      </c>
      <c r="F15" s="53">
        <v>5.5E-2</v>
      </c>
      <c r="G15" s="3" t="s">
        <v>49</v>
      </c>
      <c r="K15" s="58"/>
    </row>
    <row r="16" spans="1:11">
      <c r="A16" s="3" t="s">
        <v>59</v>
      </c>
      <c r="B16" s="3">
        <v>54.44</v>
      </c>
      <c r="C16" s="53">
        <v>0.14682729357798166</v>
      </c>
      <c r="D16" s="53">
        <f t="shared" si="0"/>
        <v>0.25311819215360387</v>
      </c>
      <c r="E16" s="53">
        <v>0.20711819215360386</v>
      </c>
      <c r="F16" s="53">
        <v>0.18</v>
      </c>
      <c r="G16" s="3" t="s">
        <v>40</v>
      </c>
      <c r="K16" s="58"/>
    </row>
    <row r="17" spans="1:11">
      <c r="A17" s="3" t="s">
        <v>60</v>
      </c>
      <c r="B17" s="3">
        <v>492.68</v>
      </c>
      <c r="C17" s="53">
        <v>7.3341743119266058E-3</v>
      </c>
      <c r="D17" s="53">
        <f t="shared" si="0"/>
        <v>5.634576669915161E-2</v>
      </c>
      <c r="E17" s="53">
        <v>1.0345766699151613E-2</v>
      </c>
      <c r="F17" s="53">
        <v>0.25</v>
      </c>
      <c r="G17" s="3" t="s">
        <v>42</v>
      </c>
      <c r="K17" s="58"/>
    </row>
    <row r="18" spans="1:11">
      <c r="A18" s="3" t="s">
        <v>61</v>
      </c>
      <c r="B18" s="3">
        <v>1.84</v>
      </c>
      <c r="C18" s="53">
        <v>0.11015642201834862</v>
      </c>
      <c r="D18" s="53">
        <f t="shared" si="0"/>
        <v>0.2013893586578458</v>
      </c>
      <c r="E18" s="53">
        <v>0.15538935865784578</v>
      </c>
      <c r="F18" s="53"/>
      <c r="G18" s="3" t="s">
        <v>46</v>
      </c>
      <c r="K18" s="58"/>
    </row>
    <row r="19" spans="1:11">
      <c r="A19" s="3" t="s">
        <v>63</v>
      </c>
      <c r="B19" s="3">
        <v>6.2</v>
      </c>
      <c r="C19" s="53">
        <v>1.0354128440366973E-2</v>
      </c>
      <c r="D19" s="53">
        <f t="shared" si="0"/>
        <v>6.0605788281155218E-2</v>
      </c>
      <c r="E19" s="53">
        <v>1.4605788281155217E-2</v>
      </c>
      <c r="F19" s="53">
        <v>0</v>
      </c>
      <c r="G19" s="3" t="s">
        <v>49</v>
      </c>
      <c r="K19" s="58"/>
    </row>
    <row r="20" spans="1:11">
      <c r="A20" s="3" t="s">
        <v>64</v>
      </c>
      <c r="B20" s="3">
        <v>37.51</v>
      </c>
      <c r="C20" s="53">
        <v>6.7301834862385335E-2</v>
      </c>
      <c r="D20" s="53">
        <f t="shared" si="0"/>
        <v>0.14093762382750893</v>
      </c>
      <c r="E20" s="53">
        <v>9.4937623827508935E-2</v>
      </c>
      <c r="F20" s="53">
        <v>0.25</v>
      </c>
      <c r="G20" s="3" t="s">
        <v>46</v>
      </c>
      <c r="K20" s="58"/>
    </row>
    <row r="21" spans="1:11">
      <c r="A21" s="3" t="s">
        <v>65</v>
      </c>
      <c r="B21" s="3">
        <v>18.170000000000002</v>
      </c>
      <c r="C21" s="53">
        <v>7.9525458715596339E-2</v>
      </c>
      <c r="D21" s="53">
        <f t="shared" si="0"/>
        <v>0.15818056832609495</v>
      </c>
      <c r="E21" s="53">
        <v>0.11218056832609494</v>
      </c>
      <c r="F21" s="53">
        <v>0.1</v>
      </c>
      <c r="G21" s="3" t="s">
        <v>40</v>
      </c>
      <c r="K21" s="58"/>
    </row>
    <row r="22" spans="1:11">
      <c r="A22" s="3" t="s">
        <v>66</v>
      </c>
      <c r="B22" s="3">
        <v>17.406530780715503</v>
      </c>
      <c r="C22" s="53">
        <v>1.4668348623853212E-2</v>
      </c>
      <c r="D22" s="53">
        <f t="shared" si="0"/>
        <v>6.6691533398303221E-2</v>
      </c>
      <c r="E22" s="53">
        <v>2.0691533398303225E-2</v>
      </c>
      <c r="F22" s="53">
        <v>0.22</v>
      </c>
      <c r="G22" s="3" t="s">
        <v>44</v>
      </c>
      <c r="K22" s="58"/>
    </row>
    <row r="23" spans="1:11">
      <c r="A23" s="3" t="s">
        <v>67</v>
      </c>
      <c r="B23" s="3">
        <v>2055.5055022247288</v>
      </c>
      <c r="C23" s="53">
        <v>3.6814678899082569E-2</v>
      </c>
      <c r="D23" s="53">
        <f t="shared" si="0"/>
        <v>9.7931691666329659E-2</v>
      </c>
      <c r="E23" s="53">
        <v>5.193169166632966E-2</v>
      </c>
      <c r="F23" s="53">
        <v>0.34</v>
      </c>
      <c r="G23" s="3" t="s">
        <v>46</v>
      </c>
      <c r="K23" s="58"/>
    </row>
    <row r="24" spans="1:11">
      <c r="A24" s="3" t="s">
        <v>68</v>
      </c>
      <c r="B24" s="3">
        <v>56.831518294439654</v>
      </c>
      <c r="C24" s="53">
        <v>1.9557798165137613E-2</v>
      </c>
      <c r="D24" s="53">
        <f t="shared" si="0"/>
        <v>7.3588711197737633E-2</v>
      </c>
      <c r="E24" s="53">
        <v>2.758871119773763E-2</v>
      </c>
      <c r="F24" s="53">
        <v>0.1</v>
      </c>
      <c r="G24" s="3" t="s">
        <v>40</v>
      </c>
      <c r="K24" s="58"/>
    </row>
    <row r="25" spans="1:11">
      <c r="A25" s="3" t="s">
        <v>69</v>
      </c>
      <c r="B25" s="3">
        <v>12.87311480001652</v>
      </c>
      <c r="C25" s="53">
        <v>9.1749082568807344E-2</v>
      </c>
      <c r="D25" s="53">
        <f t="shared" si="0"/>
        <v>0.17542351282468094</v>
      </c>
      <c r="E25" s="53">
        <v>0.12942351282468095</v>
      </c>
      <c r="F25" s="53">
        <v>0.28000000000000003</v>
      </c>
      <c r="G25" s="3" t="s">
        <v>44</v>
      </c>
      <c r="K25" s="58"/>
    </row>
    <row r="26" spans="1:11">
      <c r="A26" s="3" t="s">
        <v>70</v>
      </c>
      <c r="B26" s="3">
        <v>22.158209502639128</v>
      </c>
      <c r="C26" s="53">
        <v>6.7301834862385335E-2</v>
      </c>
      <c r="D26" s="53">
        <f t="shared" si="0"/>
        <v>0.14093762382750893</v>
      </c>
      <c r="E26" s="53">
        <v>9.4937623827508935E-2</v>
      </c>
      <c r="F26" s="53">
        <v>0.2</v>
      </c>
      <c r="G26" s="3" t="s">
        <v>57</v>
      </c>
      <c r="K26" s="58"/>
    </row>
    <row r="27" spans="1:11">
      <c r="A27" s="3" t="s">
        <v>71</v>
      </c>
      <c r="B27" s="3">
        <v>34.798596482427428</v>
      </c>
      <c r="C27" s="53">
        <v>6.7301834862385335E-2</v>
      </c>
      <c r="D27" s="53">
        <f t="shared" si="0"/>
        <v>0.14093762382750893</v>
      </c>
      <c r="E27" s="53">
        <v>9.4937623827508935E-2</v>
      </c>
      <c r="F27" s="53">
        <v>0.33</v>
      </c>
      <c r="G27" s="3" t="s">
        <v>44</v>
      </c>
      <c r="K27" s="58"/>
    </row>
    <row r="28" spans="1:11">
      <c r="A28" s="3" t="s">
        <v>72</v>
      </c>
      <c r="B28" s="3">
        <v>1653.042795255044</v>
      </c>
      <c r="C28" s="53">
        <v>0</v>
      </c>
      <c r="D28" s="53">
        <f t="shared" si="0"/>
        <v>4.5999999999999999E-2</v>
      </c>
      <c r="E28" s="53">
        <v>0</v>
      </c>
      <c r="F28" s="53">
        <v>0.25</v>
      </c>
      <c r="G28" s="3" t="s">
        <v>73</v>
      </c>
      <c r="K28" s="58"/>
    </row>
    <row r="29" spans="1:11">
      <c r="A29" s="3" t="s">
        <v>74</v>
      </c>
      <c r="B29" s="3">
        <v>3.2</v>
      </c>
      <c r="C29" s="53">
        <v>7.9525458715596339E-2</v>
      </c>
      <c r="D29" s="53">
        <f t="shared" si="0"/>
        <v>0.15818056832609495</v>
      </c>
      <c r="E29" s="53">
        <v>0.11218056832609494</v>
      </c>
      <c r="F29" s="53"/>
      <c r="G29" s="3" t="s">
        <v>44</v>
      </c>
      <c r="K29" s="58"/>
    </row>
    <row r="30" spans="1:11">
      <c r="A30" s="3" t="s">
        <v>75</v>
      </c>
      <c r="B30" s="3">
        <v>1.9</v>
      </c>
      <c r="C30" s="53">
        <v>7.3341743119266058E-3</v>
      </c>
      <c r="D30" s="53">
        <f t="shared" si="0"/>
        <v>5.634576669915161E-2</v>
      </c>
      <c r="E30" s="53">
        <v>1.0345766699151613E-2</v>
      </c>
      <c r="F30" s="53">
        <v>0</v>
      </c>
      <c r="G30" s="3" t="s">
        <v>49</v>
      </c>
      <c r="K30" s="58"/>
    </row>
    <row r="31" spans="1:11">
      <c r="A31" s="3" t="s">
        <v>76</v>
      </c>
      <c r="B31" s="3">
        <v>277.07594440194083</v>
      </c>
      <c r="C31" s="53">
        <v>1.0354128440366973E-2</v>
      </c>
      <c r="D31" s="53">
        <f t="shared" si="0"/>
        <v>6.0605788281155218E-2</v>
      </c>
      <c r="E31" s="53">
        <v>1.4605788281155217E-2</v>
      </c>
      <c r="F31" s="53">
        <v>0.27</v>
      </c>
      <c r="G31" s="3" t="s">
        <v>46</v>
      </c>
      <c r="K31" s="58"/>
    </row>
    <row r="32" spans="1:11">
      <c r="A32" s="3" t="s">
        <v>77</v>
      </c>
      <c r="B32" s="3">
        <v>12237.700479375037</v>
      </c>
      <c r="C32" s="53">
        <v>8.6284403669724778E-3</v>
      </c>
      <c r="D32" s="53">
        <f t="shared" si="0"/>
        <v>5.8171490234296012E-2</v>
      </c>
      <c r="E32" s="53">
        <v>1.2171490234296015E-2</v>
      </c>
      <c r="F32" s="53">
        <v>0.25</v>
      </c>
      <c r="G32" s="3" t="s">
        <v>57</v>
      </c>
      <c r="K32" s="58"/>
    </row>
    <row r="33" spans="1:11">
      <c r="A33" s="3" t="s">
        <v>78</v>
      </c>
      <c r="B33" s="3">
        <v>309.19138283336514</v>
      </c>
      <c r="C33" s="53">
        <v>2.3296788990825688E-2</v>
      </c>
      <c r="D33" s="53">
        <f t="shared" si="0"/>
        <v>7.8863023632599227E-2</v>
      </c>
      <c r="E33" s="53">
        <v>3.2863023632599235E-2</v>
      </c>
      <c r="F33" s="53">
        <v>0.35</v>
      </c>
      <c r="G33" s="3" t="s">
        <v>46</v>
      </c>
      <c r="K33" s="58"/>
    </row>
    <row r="34" spans="1:11">
      <c r="A34" s="3" t="s">
        <v>79</v>
      </c>
      <c r="B34" s="3">
        <v>37.24</v>
      </c>
      <c r="C34" s="53">
        <v>7.9525458715596339E-2</v>
      </c>
      <c r="D34" s="53">
        <f t="shared" si="0"/>
        <v>0.15818056832609495</v>
      </c>
      <c r="E34" s="53">
        <v>0.11218056832609494</v>
      </c>
      <c r="F34" s="53">
        <v>0.28000000000000003</v>
      </c>
      <c r="G34" s="3" t="s">
        <v>44</v>
      </c>
      <c r="K34" s="58"/>
    </row>
    <row r="35" spans="1:11">
      <c r="A35" s="3" t="s">
        <v>80</v>
      </c>
      <c r="B35" s="3">
        <v>8.7200000000000006</v>
      </c>
      <c r="C35" s="53">
        <v>0.11015642201834862</v>
      </c>
      <c r="D35" s="53">
        <f t="shared" si="0"/>
        <v>0.2013893586578458</v>
      </c>
      <c r="E35" s="53">
        <v>0.15538935865784578</v>
      </c>
      <c r="F35" s="53">
        <v>0.3</v>
      </c>
      <c r="G35" s="3" t="s">
        <v>44</v>
      </c>
      <c r="K35" s="58"/>
    </row>
    <row r="36" spans="1:11">
      <c r="A36" s="3" t="s">
        <v>81</v>
      </c>
      <c r="B36" s="3">
        <v>1.2</v>
      </c>
      <c r="C36" s="53">
        <v>5.5078211009174309E-2</v>
      </c>
      <c r="D36" s="53">
        <f t="shared" si="0"/>
        <v>0.12369467932892289</v>
      </c>
      <c r="E36" s="53">
        <v>7.7694679328922892E-2</v>
      </c>
      <c r="F36" s="53"/>
      <c r="G36" s="3" t="s">
        <v>51</v>
      </c>
      <c r="K36" s="58"/>
    </row>
    <row r="37" spans="1:11">
      <c r="A37" s="3" t="s">
        <v>82</v>
      </c>
      <c r="B37" s="3">
        <v>57.057372468038302</v>
      </c>
      <c r="C37" s="53">
        <v>6.7301834862385335E-2</v>
      </c>
      <c r="D37" s="53">
        <f t="shared" si="0"/>
        <v>0.14093762382750893</v>
      </c>
      <c r="E37" s="53">
        <v>9.4937623827508935E-2</v>
      </c>
      <c r="F37" s="53">
        <v>0.3</v>
      </c>
      <c r="G37" s="3" t="s">
        <v>46</v>
      </c>
      <c r="K37" s="58"/>
    </row>
    <row r="38" spans="1:11">
      <c r="A38" s="3" t="s">
        <v>83</v>
      </c>
      <c r="B38" s="3">
        <v>40.388624117110865</v>
      </c>
      <c r="C38" s="53">
        <v>4.4005045871559637E-2</v>
      </c>
      <c r="D38" s="53">
        <f t="shared" si="0"/>
        <v>0.10807460019490968</v>
      </c>
      <c r="E38" s="53">
        <v>6.2074600194909679E-2</v>
      </c>
      <c r="F38" s="53"/>
      <c r="G38" s="3" t="s">
        <v>44</v>
      </c>
      <c r="K38" s="58"/>
    </row>
    <row r="39" spans="1:11">
      <c r="A39" s="3" t="s">
        <v>84</v>
      </c>
      <c r="B39" s="3">
        <v>54.849180228871646</v>
      </c>
      <c r="C39" s="53">
        <v>2.3296788990825688E-2</v>
      </c>
      <c r="D39" s="53">
        <f t="shared" si="0"/>
        <v>7.8863023632599227E-2</v>
      </c>
      <c r="E39" s="53">
        <v>3.2863023632599235E-2</v>
      </c>
      <c r="F39" s="53">
        <v>0.18</v>
      </c>
      <c r="G39" s="3" t="s">
        <v>40</v>
      </c>
      <c r="K39" s="58"/>
    </row>
    <row r="40" spans="1:11">
      <c r="A40" s="3" t="s">
        <v>85</v>
      </c>
      <c r="B40" s="3">
        <v>81.599999999999994</v>
      </c>
      <c r="C40" s="53">
        <v>0.14682729357798166</v>
      </c>
      <c r="D40" s="53">
        <f t="shared" si="0"/>
        <v>0.25311819215360387</v>
      </c>
      <c r="E40" s="53">
        <v>0.20711819215360386</v>
      </c>
      <c r="F40" s="53"/>
      <c r="G40" s="3" t="s">
        <v>49</v>
      </c>
      <c r="K40" s="58"/>
    </row>
    <row r="41" spans="1:11">
      <c r="A41" s="3" t="s">
        <v>86</v>
      </c>
      <c r="B41" s="3">
        <v>1</v>
      </c>
      <c r="C41" s="53">
        <v>2.3296788990825688E-2</v>
      </c>
      <c r="D41" s="53">
        <f t="shared" si="0"/>
        <v>7.8863023632599227E-2</v>
      </c>
      <c r="E41" s="53">
        <v>3.2863023632599235E-2</v>
      </c>
      <c r="F41" s="53">
        <v>0.22</v>
      </c>
      <c r="G41" s="3" t="s">
        <v>49</v>
      </c>
      <c r="K41" s="58"/>
    </row>
    <row r="42" spans="1:11">
      <c r="A42" s="3" t="s">
        <v>87</v>
      </c>
      <c r="B42" s="3">
        <v>21.651791751183232</v>
      </c>
      <c r="C42" s="53">
        <v>3.0630963302752296E-2</v>
      </c>
      <c r="D42" s="53">
        <f t="shared" si="0"/>
        <v>8.9208790331750859E-2</v>
      </c>
      <c r="E42" s="53">
        <v>4.3208790331750853E-2</v>
      </c>
      <c r="F42" s="53">
        <v>0.125</v>
      </c>
      <c r="G42" s="3" t="s">
        <v>42</v>
      </c>
      <c r="K42" s="58"/>
    </row>
    <row r="43" spans="1:11">
      <c r="A43" s="3" t="s">
        <v>88</v>
      </c>
      <c r="B43" s="3">
        <v>215.72553437237121</v>
      </c>
      <c r="C43" s="53">
        <v>7.3341743119266058E-3</v>
      </c>
      <c r="D43" s="53">
        <f t="shared" si="0"/>
        <v>5.634576669915161E-2</v>
      </c>
      <c r="E43" s="53">
        <v>1.0345766699151613E-2</v>
      </c>
      <c r="F43" s="53">
        <v>0.19</v>
      </c>
      <c r="G43" s="3" t="s">
        <v>40</v>
      </c>
      <c r="K43" s="58"/>
    </row>
    <row r="44" spans="1:11">
      <c r="A44" s="3" t="s">
        <v>90</v>
      </c>
      <c r="B44" s="3">
        <v>324.8719688074687</v>
      </c>
      <c r="C44" s="53">
        <v>0</v>
      </c>
      <c r="D44" s="53">
        <f t="shared" si="0"/>
        <v>4.5999999999999999E-2</v>
      </c>
      <c r="E44" s="53">
        <v>0</v>
      </c>
      <c r="F44" s="53">
        <v>0.22</v>
      </c>
      <c r="G44" s="3" t="s">
        <v>42</v>
      </c>
      <c r="K44" s="58"/>
    </row>
    <row r="45" spans="1:11">
      <c r="A45" s="3" t="s">
        <v>91</v>
      </c>
      <c r="B45" s="3">
        <v>75.931656814656961</v>
      </c>
      <c r="C45" s="53">
        <v>4.4005045871559637E-2</v>
      </c>
      <c r="D45" s="53">
        <f t="shared" si="0"/>
        <v>0.10807460019490968</v>
      </c>
      <c r="E45" s="53">
        <v>6.2074600194909679E-2</v>
      </c>
      <c r="F45" s="53">
        <v>0.27</v>
      </c>
      <c r="G45" s="3" t="s">
        <v>49</v>
      </c>
      <c r="K45" s="58"/>
    </row>
    <row r="46" spans="1:11">
      <c r="A46" s="3" t="s">
        <v>92</v>
      </c>
      <c r="B46" s="3">
        <v>103.056619</v>
      </c>
      <c r="C46" s="53">
        <v>0.12238004587155965</v>
      </c>
      <c r="D46" s="53">
        <f t="shared" si="0"/>
        <v>0.21863230315643184</v>
      </c>
      <c r="E46" s="53">
        <v>0.17263230315643183</v>
      </c>
      <c r="F46" s="53">
        <v>0.25</v>
      </c>
      <c r="G46" s="3" t="s">
        <v>46</v>
      </c>
      <c r="K46" s="58"/>
    </row>
    <row r="47" spans="1:11">
      <c r="A47" s="3" t="s">
        <v>93</v>
      </c>
      <c r="B47" s="3">
        <v>235.37</v>
      </c>
      <c r="C47" s="53">
        <v>6.7301834862385335E-2</v>
      </c>
      <c r="D47" s="53">
        <f t="shared" si="0"/>
        <v>0.14093762382750893</v>
      </c>
      <c r="E47" s="53">
        <v>9.4937623827508935E-2</v>
      </c>
      <c r="F47" s="53">
        <v>0.22500000000000001</v>
      </c>
      <c r="G47" s="3" t="s">
        <v>44</v>
      </c>
      <c r="K47" s="58"/>
    </row>
    <row r="48" spans="1:11">
      <c r="A48" s="3" t="s">
        <v>94</v>
      </c>
      <c r="B48" s="3">
        <v>24.805439600000003</v>
      </c>
      <c r="C48" s="53">
        <v>0.12238004587155965</v>
      </c>
      <c r="D48" s="53">
        <f t="shared" si="0"/>
        <v>0.21863230315643184</v>
      </c>
      <c r="E48" s="53">
        <v>0.17263230315643183</v>
      </c>
      <c r="F48" s="53">
        <v>0.3</v>
      </c>
      <c r="G48" s="3" t="s">
        <v>46</v>
      </c>
      <c r="K48" s="58"/>
    </row>
    <row r="49" spans="1:11">
      <c r="A49" s="3" t="s">
        <v>95</v>
      </c>
      <c r="B49" s="3">
        <v>25.92107961233366</v>
      </c>
      <c r="C49" s="53">
        <v>8.6284403669724778E-3</v>
      </c>
      <c r="D49" s="53">
        <f t="shared" si="0"/>
        <v>5.8171490234296012E-2</v>
      </c>
      <c r="E49" s="53">
        <v>1.2171490234296015E-2</v>
      </c>
      <c r="F49" s="53">
        <v>0.2</v>
      </c>
      <c r="G49" s="3" t="s">
        <v>40</v>
      </c>
      <c r="K49" s="58"/>
    </row>
    <row r="50" spans="1:11">
      <c r="A50" s="3" t="s">
        <v>96</v>
      </c>
      <c r="B50" s="3">
        <v>80.561496133917188</v>
      </c>
      <c r="C50" s="53">
        <v>0.11015642201834862</v>
      </c>
      <c r="D50" s="53">
        <f t="shared" si="0"/>
        <v>0.2013893586578458</v>
      </c>
      <c r="E50" s="53">
        <v>0.15538935865784578</v>
      </c>
      <c r="F50" s="53">
        <v>0.3</v>
      </c>
      <c r="G50" s="3" t="s">
        <v>44</v>
      </c>
      <c r="K50" s="58"/>
    </row>
    <row r="51" spans="1:11">
      <c r="A51" s="3" t="s">
        <v>97</v>
      </c>
      <c r="B51" s="3">
        <v>5.0612027674294833</v>
      </c>
      <c r="C51" s="53">
        <v>5.5078211009174309E-2</v>
      </c>
      <c r="D51" s="53">
        <f t="shared" si="0"/>
        <v>0.12369467932892289</v>
      </c>
      <c r="E51" s="53">
        <v>7.7694679328922892E-2</v>
      </c>
      <c r="F51" s="53">
        <v>0.2</v>
      </c>
      <c r="G51" s="3" t="s">
        <v>57</v>
      </c>
      <c r="K51" s="58"/>
    </row>
    <row r="52" spans="1:11">
      <c r="A52" s="3" t="s">
        <v>98</v>
      </c>
      <c r="B52" s="3">
        <v>251.88488797276599</v>
      </c>
      <c r="C52" s="53">
        <v>4.8894495412844033E-3</v>
      </c>
      <c r="D52" s="53">
        <f t="shared" si="0"/>
        <v>5.2897177799434404E-2</v>
      </c>
      <c r="E52" s="53">
        <v>6.8971777994344076E-3</v>
      </c>
      <c r="F52" s="53">
        <v>0.2</v>
      </c>
      <c r="G52" s="3" t="s">
        <v>42</v>
      </c>
      <c r="K52" s="58"/>
    </row>
    <row r="53" spans="1:11">
      <c r="A53" s="3" t="s">
        <v>99</v>
      </c>
      <c r="B53" s="3">
        <v>2582.5013072164156</v>
      </c>
      <c r="C53" s="53">
        <v>6.0399082568807346E-3</v>
      </c>
      <c r="D53" s="53">
        <f t="shared" si="0"/>
        <v>5.4520043164007208E-2</v>
      </c>
      <c r="E53" s="53">
        <v>8.5200431640072103E-3</v>
      </c>
      <c r="F53" s="53">
        <v>0.25</v>
      </c>
      <c r="G53" s="3" t="s">
        <v>42</v>
      </c>
      <c r="K53" s="58"/>
    </row>
    <row r="54" spans="1:11">
      <c r="A54" s="3" t="s">
        <v>100</v>
      </c>
      <c r="B54" s="3">
        <v>14.622880885684218</v>
      </c>
      <c r="C54" s="53">
        <v>9.1749082568807344E-2</v>
      </c>
      <c r="D54" s="53">
        <f t="shared" si="0"/>
        <v>0.17542351282468094</v>
      </c>
      <c r="E54" s="53">
        <v>0.12942351282468095</v>
      </c>
      <c r="F54" s="53">
        <v>0.3</v>
      </c>
      <c r="G54" s="3" t="s">
        <v>44</v>
      </c>
      <c r="K54" s="58"/>
    </row>
    <row r="55" spans="1:11">
      <c r="A55" s="3" t="s">
        <v>101</v>
      </c>
      <c r="B55" s="3">
        <v>15.159281211396696</v>
      </c>
      <c r="C55" s="53">
        <v>3.6814678899082569E-2</v>
      </c>
      <c r="D55" s="53">
        <f t="shared" si="0"/>
        <v>9.7931691666329659E-2</v>
      </c>
      <c r="E55" s="53">
        <v>5.193169166632966E-2</v>
      </c>
      <c r="F55" s="53">
        <v>0.15</v>
      </c>
      <c r="G55" s="3" t="s">
        <v>40</v>
      </c>
      <c r="K55" s="58"/>
    </row>
    <row r="56" spans="1:11">
      <c r="A56" s="3" t="s">
        <v>102</v>
      </c>
      <c r="B56" s="3">
        <v>3677.4391297766028</v>
      </c>
      <c r="C56" s="53">
        <v>0</v>
      </c>
      <c r="D56" s="53">
        <f t="shared" si="0"/>
        <v>4.5999999999999999E-2</v>
      </c>
      <c r="E56" s="53">
        <v>0</v>
      </c>
      <c r="F56" s="53">
        <v>0.3</v>
      </c>
      <c r="G56" s="3" t="s">
        <v>42</v>
      </c>
      <c r="K56" s="58"/>
    </row>
    <row r="57" spans="1:11">
      <c r="A57" s="3" t="s">
        <v>103</v>
      </c>
      <c r="B57" s="3">
        <v>47.330016342573444</v>
      </c>
      <c r="C57" s="53">
        <v>0.14682729357798166</v>
      </c>
      <c r="D57" s="53">
        <f t="shared" si="0"/>
        <v>0.25311819215360387</v>
      </c>
      <c r="E57" s="53">
        <v>0.20711819215360386</v>
      </c>
      <c r="F57" s="53">
        <v>0.25</v>
      </c>
      <c r="G57" s="3" t="s">
        <v>44</v>
      </c>
      <c r="K57" s="58"/>
    </row>
    <row r="58" spans="1:11">
      <c r="A58" s="3" t="s">
        <v>104</v>
      </c>
      <c r="B58" s="3">
        <v>200.28827712903825</v>
      </c>
      <c r="C58" s="53">
        <v>4.4005045871559637E-2</v>
      </c>
      <c r="D58" s="53">
        <f t="shared" si="0"/>
        <v>0.10807460019490968</v>
      </c>
      <c r="E58" s="53">
        <v>6.2074600194909679E-2</v>
      </c>
      <c r="F58" s="53">
        <v>0.22</v>
      </c>
      <c r="G58" s="3" t="s">
        <v>42</v>
      </c>
      <c r="K58" s="58"/>
    </row>
    <row r="59" spans="1:11">
      <c r="A59" s="3" t="s">
        <v>105</v>
      </c>
      <c r="B59" s="3">
        <v>75.620095537500504</v>
      </c>
      <c r="C59" s="53">
        <v>3.0630963302752296E-2</v>
      </c>
      <c r="D59" s="53">
        <f t="shared" si="0"/>
        <v>8.9208790331750859E-2</v>
      </c>
      <c r="E59" s="53">
        <v>4.3208790331750853E-2</v>
      </c>
      <c r="F59" s="53">
        <v>0.25</v>
      </c>
      <c r="G59" s="3" t="s">
        <v>46</v>
      </c>
      <c r="K59" s="58"/>
    </row>
    <row r="60" spans="1:11">
      <c r="A60" s="3" t="s">
        <v>106</v>
      </c>
      <c r="B60" s="3">
        <v>0.5</v>
      </c>
      <c r="C60" s="53">
        <v>0</v>
      </c>
      <c r="D60" s="53">
        <f t="shared" si="0"/>
        <v>4.5999999999999999E-2</v>
      </c>
      <c r="E60" s="53">
        <v>0</v>
      </c>
      <c r="F60" s="53">
        <v>0</v>
      </c>
      <c r="G60" s="3" t="s">
        <v>42</v>
      </c>
      <c r="K60" s="58"/>
    </row>
    <row r="61" spans="1:11">
      <c r="A61" s="3" t="s">
        <v>107</v>
      </c>
      <c r="B61" s="3">
        <v>22.97853289678163</v>
      </c>
      <c r="C61" s="53">
        <v>5.5078211009174309E-2</v>
      </c>
      <c r="D61" s="53">
        <f t="shared" si="0"/>
        <v>0.12369467932892289</v>
      </c>
      <c r="E61" s="53">
        <v>7.7694679328922892E-2</v>
      </c>
      <c r="F61" s="53">
        <v>0.25</v>
      </c>
      <c r="G61" s="3" t="s">
        <v>46</v>
      </c>
      <c r="K61" s="58"/>
    </row>
    <row r="62" spans="1:11">
      <c r="A62" s="3" t="s">
        <v>108</v>
      </c>
      <c r="B62" s="3">
        <v>341.45</v>
      </c>
      <c r="C62" s="53">
        <v>7.3341743119266058E-3</v>
      </c>
      <c r="D62" s="53">
        <f t="shared" si="0"/>
        <v>5.634576669915161E-2</v>
      </c>
      <c r="E62" s="53">
        <v>1.0345766699151613E-2</v>
      </c>
      <c r="F62" s="53">
        <v>0.16500000000000001</v>
      </c>
      <c r="G62" s="3" t="s">
        <v>57</v>
      </c>
      <c r="K62" s="58"/>
    </row>
    <row r="63" spans="1:11">
      <c r="A63" s="3" t="s">
        <v>109</v>
      </c>
      <c r="B63" s="3">
        <v>139.13502975828999</v>
      </c>
      <c r="C63" s="53">
        <v>2.3296788990825688E-2</v>
      </c>
      <c r="D63" s="53">
        <f t="shared" si="0"/>
        <v>7.8863023632599227E-2</v>
      </c>
      <c r="E63" s="53">
        <v>3.2863023632599235E-2</v>
      </c>
      <c r="F63" s="53">
        <v>0.09</v>
      </c>
      <c r="G63" s="3" t="s">
        <v>40</v>
      </c>
      <c r="K63" s="58"/>
    </row>
    <row r="64" spans="1:11">
      <c r="A64" s="3" t="s">
        <v>110</v>
      </c>
      <c r="B64" s="3">
        <v>23.909289978586099</v>
      </c>
      <c r="C64" s="53">
        <v>1.0354128440366973E-2</v>
      </c>
      <c r="D64" s="53">
        <f t="shared" si="0"/>
        <v>6.0605788281155218E-2</v>
      </c>
      <c r="E64" s="53">
        <v>1.4605788281155217E-2</v>
      </c>
      <c r="F64" s="53">
        <v>0.2</v>
      </c>
      <c r="G64" s="3" t="s">
        <v>42</v>
      </c>
      <c r="K64" s="58"/>
    </row>
    <row r="65" spans="1:11">
      <c r="A65" s="3" t="s">
        <v>111</v>
      </c>
      <c r="B65" s="3">
        <v>2597.4911628976711</v>
      </c>
      <c r="C65" s="53">
        <v>2.6891972477064225E-2</v>
      </c>
      <c r="D65" s="53">
        <f t="shared" si="0"/>
        <v>8.3934477896889251E-2</v>
      </c>
      <c r="E65" s="53">
        <v>3.7934477896889252E-2</v>
      </c>
      <c r="F65" s="53">
        <v>0.3</v>
      </c>
      <c r="G65" s="3" t="s">
        <v>57</v>
      </c>
      <c r="K65" s="58"/>
    </row>
    <row r="66" spans="1:11">
      <c r="A66" s="3" t="s">
        <v>112</v>
      </c>
      <c r="B66" s="3">
        <v>1015.5390175365033</v>
      </c>
      <c r="C66" s="53">
        <v>2.3296788990825688E-2</v>
      </c>
      <c r="D66" s="53">
        <f t="shared" si="0"/>
        <v>7.8863023632599227E-2</v>
      </c>
      <c r="E66" s="53">
        <v>3.2863023632599235E-2</v>
      </c>
      <c r="F66" s="53">
        <v>0.22</v>
      </c>
      <c r="G66" s="3" t="s">
        <v>57</v>
      </c>
      <c r="K66" s="58"/>
    </row>
    <row r="67" spans="1:11">
      <c r="A67" s="3" t="s">
        <v>113</v>
      </c>
      <c r="B67" s="3">
        <v>197.71573604060913</v>
      </c>
      <c r="C67" s="53">
        <v>9.1749082568807344E-2</v>
      </c>
      <c r="D67" s="53">
        <f t="shared" si="0"/>
        <v>0.17542351282468094</v>
      </c>
      <c r="E67" s="53">
        <v>0.12942351282468095</v>
      </c>
      <c r="F67" s="53">
        <v>0.15</v>
      </c>
      <c r="G67" s="3" t="s">
        <v>38</v>
      </c>
      <c r="K67" s="58"/>
    </row>
    <row r="68" spans="1:11">
      <c r="A68" s="3" t="s">
        <v>114</v>
      </c>
      <c r="B68" s="3">
        <v>333.73076477318006</v>
      </c>
      <c r="C68" s="53">
        <v>8.6284403669724778E-3</v>
      </c>
      <c r="D68" s="53">
        <f t="shared" ref="D68:D131" si="1">$D$148+E68</f>
        <v>5.8171490234296012E-2</v>
      </c>
      <c r="E68" s="53">
        <v>1.2171490234296015E-2</v>
      </c>
      <c r="F68" s="53">
        <v>0.125</v>
      </c>
      <c r="G68" s="3" t="s">
        <v>42</v>
      </c>
      <c r="K68" s="58"/>
    </row>
    <row r="69" spans="1:11">
      <c r="A69" s="3" t="s">
        <v>115</v>
      </c>
      <c r="B69" s="3">
        <v>7.4</v>
      </c>
      <c r="C69" s="53">
        <v>7.3341743119266058E-3</v>
      </c>
      <c r="D69" s="53">
        <f t="shared" si="1"/>
        <v>5.634576669915161E-2</v>
      </c>
      <c r="E69" s="53">
        <v>1.0345766699151613E-2</v>
      </c>
      <c r="F69" s="53">
        <v>0</v>
      </c>
      <c r="G69" s="3" t="s">
        <v>42</v>
      </c>
      <c r="K69" s="58"/>
    </row>
    <row r="70" spans="1:11">
      <c r="A70" s="3" t="s">
        <v>116</v>
      </c>
      <c r="B70" s="3">
        <v>350.85053782728062</v>
      </c>
      <c r="C70" s="53">
        <v>8.6284403669724778E-3</v>
      </c>
      <c r="D70" s="53">
        <f t="shared" si="1"/>
        <v>5.8171490234296012E-2</v>
      </c>
      <c r="E70" s="53">
        <v>1.2171490234296015E-2</v>
      </c>
      <c r="F70" s="53">
        <v>0.23</v>
      </c>
      <c r="G70" s="3" t="s">
        <v>38</v>
      </c>
      <c r="K70" s="58"/>
    </row>
    <row r="71" spans="1:11">
      <c r="A71" s="3" t="s">
        <v>117</v>
      </c>
      <c r="B71" s="3">
        <v>1934.7979374113268</v>
      </c>
      <c r="C71" s="53">
        <v>2.6891972477064225E-2</v>
      </c>
      <c r="D71" s="53">
        <f t="shared" si="1"/>
        <v>8.3934477896889251E-2</v>
      </c>
      <c r="E71" s="53">
        <v>3.7934477896889252E-2</v>
      </c>
      <c r="F71" s="53">
        <v>0.24</v>
      </c>
      <c r="G71" s="3" t="s">
        <v>42</v>
      </c>
      <c r="K71" s="58"/>
    </row>
    <row r="72" spans="1:11">
      <c r="A72" s="3" t="s">
        <v>118</v>
      </c>
      <c r="B72" s="3">
        <v>14.768134912417116</v>
      </c>
      <c r="C72" s="53">
        <v>6.7301834862385335E-2</v>
      </c>
      <c r="D72" s="53">
        <f t="shared" si="1"/>
        <v>0.14093762382750893</v>
      </c>
      <c r="E72" s="53">
        <v>9.4937623827508935E-2</v>
      </c>
      <c r="F72" s="53">
        <v>0.25</v>
      </c>
      <c r="G72" s="3" t="s">
        <v>49</v>
      </c>
      <c r="K72" s="58"/>
    </row>
    <row r="73" spans="1:11">
      <c r="A73" s="3" t="s">
        <v>119</v>
      </c>
      <c r="B73" s="3">
        <v>4872.1369455075865</v>
      </c>
      <c r="C73" s="53">
        <v>8.6284403669724778E-3</v>
      </c>
      <c r="D73" s="53">
        <f t="shared" si="1"/>
        <v>5.8171490234296012E-2</v>
      </c>
      <c r="E73" s="53">
        <v>1.2171490234296015E-2</v>
      </c>
      <c r="F73" s="53">
        <v>0.23200000000000001</v>
      </c>
      <c r="G73" s="3" t="s">
        <v>57</v>
      </c>
      <c r="K73" s="58"/>
    </row>
    <row r="74" spans="1:11">
      <c r="A74" s="3" t="s">
        <v>120</v>
      </c>
      <c r="B74" s="3">
        <v>1</v>
      </c>
      <c r="C74" s="53">
        <v>0</v>
      </c>
      <c r="D74" s="53">
        <f t="shared" si="1"/>
        <v>4.5999999999999999E-2</v>
      </c>
      <c r="E74" s="53">
        <v>0</v>
      </c>
      <c r="F74" s="53">
        <v>0</v>
      </c>
      <c r="G74" s="3" t="s">
        <v>42</v>
      </c>
      <c r="K74" s="58"/>
    </row>
    <row r="75" spans="1:11">
      <c r="A75" s="3" t="s">
        <v>121</v>
      </c>
      <c r="B75" s="3">
        <v>40.068308516275501</v>
      </c>
      <c r="C75" s="53">
        <v>5.5078211009174309E-2</v>
      </c>
      <c r="D75" s="53">
        <f t="shared" si="1"/>
        <v>0.12369467932892289</v>
      </c>
      <c r="E75" s="53">
        <v>7.7694679328922892E-2</v>
      </c>
      <c r="F75" s="53">
        <v>0.2</v>
      </c>
      <c r="G75" s="3" t="s">
        <v>38</v>
      </c>
      <c r="K75" s="58"/>
    </row>
    <row r="76" spans="1:11">
      <c r="A76" s="3" t="s">
        <v>122</v>
      </c>
      <c r="B76" s="3">
        <v>159.4069263591216</v>
      </c>
      <c r="C76" s="53">
        <v>2.3296788990825688E-2</v>
      </c>
      <c r="D76" s="53">
        <f t="shared" si="1"/>
        <v>7.8863023632599227E-2</v>
      </c>
      <c r="E76" s="53">
        <v>3.2863023632599235E-2</v>
      </c>
      <c r="F76" s="53">
        <v>0.2</v>
      </c>
      <c r="G76" s="3" t="s">
        <v>40</v>
      </c>
      <c r="K76" s="58"/>
    </row>
    <row r="77" spans="1:11">
      <c r="A77" s="3" t="s">
        <v>123</v>
      </c>
      <c r="B77" s="3">
        <v>74.938190654855816</v>
      </c>
      <c r="C77" s="53">
        <v>6.7301834862385335E-2</v>
      </c>
      <c r="D77" s="53">
        <f t="shared" si="1"/>
        <v>0.14093762382750893</v>
      </c>
      <c r="E77" s="53">
        <v>9.4937623827508935E-2</v>
      </c>
      <c r="F77" s="53">
        <v>0.3</v>
      </c>
      <c r="G77" s="3" t="s">
        <v>44</v>
      </c>
      <c r="K77" s="58"/>
    </row>
    <row r="78" spans="1:11">
      <c r="A78" s="3" t="s">
        <v>124</v>
      </c>
      <c r="B78" s="3">
        <v>1530.75</v>
      </c>
      <c r="C78" s="53">
        <v>6.0399082568807346E-3</v>
      </c>
      <c r="D78" s="53">
        <f t="shared" si="1"/>
        <v>5.4520043164007208E-2</v>
      </c>
      <c r="E78" s="53">
        <v>8.5200431640072103E-3</v>
      </c>
      <c r="F78" s="53">
        <v>0.25</v>
      </c>
      <c r="G78" s="3" t="s">
        <v>57</v>
      </c>
      <c r="K78" s="58"/>
    </row>
    <row r="79" spans="1:11">
      <c r="A79" s="3" t="s">
        <v>125</v>
      </c>
      <c r="B79" s="3">
        <v>120.12627761292451</v>
      </c>
      <c r="C79" s="53">
        <v>8.6284403669724778E-3</v>
      </c>
      <c r="D79" s="53">
        <f t="shared" si="1"/>
        <v>5.8171490234296012E-2</v>
      </c>
      <c r="E79" s="53">
        <v>1.2171490234296015E-2</v>
      </c>
      <c r="F79" s="53">
        <v>0.15</v>
      </c>
      <c r="G79" s="3" t="s">
        <v>38</v>
      </c>
      <c r="K79" s="58"/>
    </row>
    <row r="80" spans="1:11">
      <c r="A80" s="3" t="s">
        <v>126</v>
      </c>
      <c r="B80" s="3">
        <v>7.5647388360412213</v>
      </c>
      <c r="C80" s="53">
        <v>7.9525458715596339E-2</v>
      </c>
      <c r="D80" s="53">
        <f t="shared" si="1"/>
        <v>0.15818056832609495</v>
      </c>
      <c r="E80" s="53">
        <v>0.11218056832609494</v>
      </c>
      <c r="F80" s="53">
        <v>0.1</v>
      </c>
      <c r="G80" s="3" t="s">
        <v>40</v>
      </c>
      <c r="K80" s="58"/>
    </row>
    <row r="81" spans="1:11">
      <c r="A81" s="3" t="s">
        <v>127</v>
      </c>
      <c r="B81" s="3">
        <v>30.264454641800356</v>
      </c>
      <c r="C81" s="53">
        <v>1.4668348623853212E-2</v>
      </c>
      <c r="D81" s="53">
        <f t="shared" si="1"/>
        <v>6.6691533398303221E-2</v>
      </c>
      <c r="E81" s="53">
        <v>2.0691533398303225E-2</v>
      </c>
      <c r="F81" s="53">
        <v>0.2</v>
      </c>
      <c r="G81" s="3" t="s">
        <v>40</v>
      </c>
      <c r="K81" s="58"/>
    </row>
    <row r="82" spans="1:11">
      <c r="A82" s="3" t="s">
        <v>128</v>
      </c>
      <c r="B82" s="3">
        <v>51.844487742023212</v>
      </c>
      <c r="C82" s="53">
        <v>0.17499999999999999</v>
      </c>
      <c r="D82" s="53">
        <f t="shared" si="1"/>
        <v>0.29285930485826311</v>
      </c>
      <c r="E82" s="53">
        <v>0.2468593048582631</v>
      </c>
      <c r="F82" s="53">
        <v>0.17</v>
      </c>
      <c r="G82" s="3" t="s">
        <v>38</v>
      </c>
      <c r="K82" s="58"/>
    </row>
    <row r="83" spans="1:11">
      <c r="A83" s="3" t="s">
        <v>129</v>
      </c>
      <c r="B83" s="3">
        <v>6.7</v>
      </c>
      <c r="C83" s="53">
        <v>0</v>
      </c>
      <c r="D83" s="53">
        <f t="shared" si="1"/>
        <v>4.5999999999999999E-2</v>
      </c>
      <c r="E83" s="53">
        <v>0</v>
      </c>
      <c r="F83" s="53">
        <v>0.125</v>
      </c>
      <c r="G83" s="3" t="s">
        <v>42</v>
      </c>
      <c r="K83" s="58"/>
    </row>
    <row r="84" spans="1:11">
      <c r="A84" s="3" t="s">
        <v>130</v>
      </c>
      <c r="B84" s="3">
        <v>47.168303744132935</v>
      </c>
      <c r="C84" s="53">
        <v>1.0354128440366973E-2</v>
      </c>
      <c r="D84" s="53">
        <f t="shared" si="1"/>
        <v>6.0605788281155218E-2</v>
      </c>
      <c r="E84" s="53">
        <v>1.4605788281155217E-2</v>
      </c>
      <c r="F84" s="53">
        <v>0.15</v>
      </c>
      <c r="G84" s="3" t="s">
        <v>40</v>
      </c>
      <c r="K84" s="58"/>
    </row>
    <row r="85" spans="1:11">
      <c r="A85" s="3" t="s">
        <v>131</v>
      </c>
      <c r="B85" s="3">
        <v>62.404461274663575</v>
      </c>
      <c r="C85" s="53">
        <v>0</v>
      </c>
      <c r="D85" s="53">
        <f t="shared" si="1"/>
        <v>4.5999999999999999E-2</v>
      </c>
      <c r="E85" s="53">
        <v>0</v>
      </c>
      <c r="F85" s="53">
        <v>0.24940000000000001</v>
      </c>
      <c r="G85" s="3" t="s">
        <v>42</v>
      </c>
      <c r="K85" s="58"/>
    </row>
    <row r="86" spans="1:11">
      <c r="A86" s="3" t="s">
        <v>132</v>
      </c>
      <c r="B86" s="3">
        <v>62.404461274663575</v>
      </c>
      <c r="C86" s="53">
        <v>7.3341743119266058E-3</v>
      </c>
      <c r="D86" s="53">
        <f t="shared" si="1"/>
        <v>5.634576669915161E-2</v>
      </c>
      <c r="E86" s="53">
        <v>1.0345766699151613E-2</v>
      </c>
      <c r="F86" s="53">
        <v>0.12</v>
      </c>
      <c r="G86" s="3" t="s">
        <v>57</v>
      </c>
      <c r="K86" s="58"/>
    </row>
    <row r="87" spans="1:11">
      <c r="A87" s="3" t="s">
        <v>133</v>
      </c>
      <c r="B87" s="3">
        <v>50.361201096436588</v>
      </c>
      <c r="C87" s="53">
        <v>4.4005045871559637E-2</v>
      </c>
      <c r="D87" s="53">
        <f t="shared" si="1"/>
        <v>0.10807460019490968</v>
      </c>
      <c r="E87" s="53">
        <v>6.2074600194909679E-2</v>
      </c>
      <c r="F87" s="53">
        <v>0.1</v>
      </c>
      <c r="G87" s="3" t="s">
        <v>40</v>
      </c>
      <c r="K87" s="58"/>
    </row>
    <row r="88" spans="1:11">
      <c r="A88" s="3" t="s">
        <v>134</v>
      </c>
      <c r="B88" s="3">
        <v>314.50027904380988</v>
      </c>
      <c r="C88" s="53">
        <v>1.4668348623853212E-2</v>
      </c>
      <c r="D88" s="53">
        <f t="shared" si="1"/>
        <v>6.6691533398303221E-2</v>
      </c>
      <c r="E88" s="53">
        <v>2.0691533398303225E-2</v>
      </c>
      <c r="F88" s="53">
        <v>0.24</v>
      </c>
      <c r="G88" s="3" t="s">
        <v>57</v>
      </c>
      <c r="K88" s="58"/>
    </row>
    <row r="89" spans="1:11">
      <c r="A89" s="3" t="s">
        <v>607</v>
      </c>
      <c r="B89" s="3">
        <v>4.5970833035069338</v>
      </c>
      <c r="C89" s="53">
        <v>9.1749082568807344E-2</v>
      </c>
      <c r="D89" s="53">
        <f t="shared" si="1"/>
        <v>0.17542351282468094</v>
      </c>
      <c r="E89" s="53">
        <v>0.12942351282468095</v>
      </c>
      <c r="F89" s="53"/>
      <c r="G89" s="3" t="s">
        <v>57</v>
      </c>
      <c r="K89" s="58"/>
    </row>
    <row r="90" spans="1:11">
      <c r="A90" s="3" t="s">
        <v>135</v>
      </c>
      <c r="B90" s="3">
        <v>12.5377507324769</v>
      </c>
      <c r="C90" s="53">
        <v>1.0354128440366973E-2</v>
      </c>
      <c r="D90" s="53">
        <f t="shared" si="1"/>
        <v>6.0605788281155218E-2</v>
      </c>
      <c r="E90" s="53">
        <v>1.4605788281155217E-2</v>
      </c>
      <c r="F90" s="53">
        <v>0.35</v>
      </c>
      <c r="G90" s="3" t="s">
        <v>42</v>
      </c>
      <c r="K90" s="58"/>
    </row>
    <row r="91" spans="1:11">
      <c r="A91" s="3" t="s">
        <v>136</v>
      </c>
      <c r="B91" s="3">
        <v>13.338147523012408</v>
      </c>
      <c r="C91" s="53">
        <v>2.6891972477064225E-2</v>
      </c>
      <c r="D91" s="53">
        <f t="shared" si="1"/>
        <v>8.3934477896889251E-2</v>
      </c>
      <c r="E91" s="53">
        <v>3.7934477896889252E-2</v>
      </c>
      <c r="F91" s="53">
        <v>0.15</v>
      </c>
      <c r="G91" s="3" t="s">
        <v>57</v>
      </c>
      <c r="K91" s="58"/>
    </row>
    <row r="92" spans="1:11">
      <c r="A92" s="3" t="s">
        <v>137</v>
      </c>
      <c r="B92" s="3">
        <v>1149.9187947657313</v>
      </c>
      <c r="C92" s="53">
        <v>2.3296788990825688E-2</v>
      </c>
      <c r="D92" s="53">
        <f t="shared" si="1"/>
        <v>7.8863023632599227E-2</v>
      </c>
      <c r="E92" s="53">
        <v>3.2863023632599235E-2</v>
      </c>
      <c r="F92" s="53">
        <v>0.3</v>
      </c>
      <c r="G92" s="3" t="s">
        <v>46</v>
      </c>
      <c r="K92" s="58"/>
    </row>
    <row r="93" spans="1:11">
      <c r="A93" s="3" t="s">
        <v>138</v>
      </c>
      <c r="B93" s="3">
        <v>8.1284934320774092</v>
      </c>
      <c r="C93" s="53">
        <v>7.9525458715596339E-2</v>
      </c>
      <c r="D93" s="53">
        <f t="shared" si="1"/>
        <v>0.15818056832609495</v>
      </c>
      <c r="E93" s="53">
        <v>0.11218056832609494</v>
      </c>
      <c r="F93" s="53">
        <v>0.12</v>
      </c>
      <c r="G93" s="3" t="s">
        <v>40</v>
      </c>
      <c r="K93" s="58"/>
    </row>
    <row r="94" spans="1:11">
      <c r="A94" s="3" t="s">
        <v>139</v>
      </c>
      <c r="B94" s="3">
        <v>11.48804688104307</v>
      </c>
      <c r="C94" s="53">
        <v>7.9525458715596339E-2</v>
      </c>
      <c r="D94" s="53">
        <f t="shared" si="1"/>
        <v>0.15818056832609495</v>
      </c>
      <c r="E94" s="53">
        <v>0.11218056832609494</v>
      </c>
      <c r="F94" s="53">
        <v>0.25</v>
      </c>
      <c r="G94" s="3" t="s">
        <v>57</v>
      </c>
      <c r="K94" s="58"/>
    </row>
    <row r="95" spans="1:11">
      <c r="A95" s="3" t="s">
        <v>140</v>
      </c>
      <c r="B95" s="3">
        <v>4.7740860942077994</v>
      </c>
      <c r="C95" s="53">
        <v>5.5078211009174309E-2</v>
      </c>
      <c r="D95" s="53">
        <f t="shared" si="1"/>
        <v>0.12369467932892289</v>
      </c>
      <c r="E95" s="53">
        <v>7.7694679328922892E-2</v>
      </c>
      <c r="F95" s="53">
        <v>0.15</v>
      </c>
      <c r="G95" s="3" t="s">
        <v>40</v>
      </c>
      <c r="K95" s="58"/>
    </row>
    <row r="96" spans="1:11">
      <c r="A96" s="3" t="s">
        <v>141</v>
      </c>
      <c r="B96" s="3">
        <v>1.5</v>
      </c>
      <c r="C96" s="53">
        <v>2.6891972477064225E-2</v>
      </c>
      <c r="D96" s="53">
        <f t="shared" si="1"/>
        <v>8.3934477896889251E-2</v>
      </c>
      <c r="E96" s="53">
        <v>3.7934477896889252E-2</v>
      </c>
      <c r="F96" s="53"/>
      <c r="G96" s="3" t="s">
        <v>49</v>
      </c>
      <c r="K96" s="58"/>
    </row>
    <row r="97" spans="1:11">
      <c r="A97" s="3" t="s">
        <v>142</v>
      </c>
      <c r="B97" s="3">
        <v>109.13948400742879</v>
      </c>
      <c r="C97" s="53">
        <v>3.0630963302752296E-2</v>
      </c>
      <c r="D97" s="53">
        <f t="shared" si="1"/>
        <v>8.9208790331750859E-2</v>
      </c>
      <c r="E97" s="53">
        <v>4.3208790331750853E-2</v>
      </c>
      <c r="F97" s="53">
        <v>0.31</v>
      </c>
      <c r="G97" s="3" t="s">
        <v>44</v>
      </c>
      <c r="K97" s="58"/>
    </row>
    <row r="98" spans="1:11">
      <c r="A98" s="3" t="s">
        <v>143</v>
      </c>
      <c r="B98" s="3">
        <v>12.333859926276988</v>
      </c>
      <c r="C98" s="53">
        <v>0.11015642201834862</v>
      </c>
      <c r="D98" s="53">
        <f t="shared" si="1"/>
        <v>0.2013893586578458</v>
      </c>
      <c r="E98" s="53">
        <v>0.15538935865784578</v>
      </c>
      <c r="F98" s="53">
        <v>0.32</v>
      </c>
      <c r="G98" s="3" t="s">
        <v>44</v>
      </c>
      <c r="K98" s="58"/>
    </row>
    <row r="99" spans="1:11">
      <c r="A99" s="3" t="s">
        <v>144</v>
      </c>
      <c r="B99" s="3">
        <v>13.244597345431874</v>
      </c>
      <c r="C99" s="53">
        <v>5.5078211009174309E-2</v>
      </c>
      <c r="D99" s="53">
        <f t="shared" si="1"/>
        <v>0.12369467932892289</v>
      </c>
      <c r="E99" s="53">
        <v>7.7694679328922892E-2</v>
      </c>
      <c r="F99" s="53">
        <v>0.32</v>
      </c>
      <c r="G99" s="3" t="s">
        <v>44</v>
      </c>
      <c r="K99" s="58"/>
    </row>
    <row r="100" spans="1:11">
      <c r="A100" s="3" t="s">
        <v>145</v>
      </c>
      <c r="B100" s="3">
        <v>826.20028250112694</v>
      </c>
      <c r="C100" s="53">
        <v>0</v>
      </c>
      <c r="D100" s="53">
        <f t="shared" si="1"/>
        <v>4.5999999999999999E-2</v>
      </c>
      <c r="E100" s="53">
        <v>0</v>
      </c>
      <c r="F100" s="53">
        <v>0.25800000000000001</v>
      </c>
      <c r="G100" s="3" t="s">
        <v>42</v>
      </c>
      <c r="K100" s="58"/>
    </row>
    <row r="101" spans="1:11">
      <c r="A101" s="3" t="s">
        <v>146</v>
      </c>
      <c r="B101" s="3">
        <v>205.85283825471217</v>
      </c>
      <c r="C101" s="53">
        <v>0</v>
      </c>
      <c r="D101" s="53">
        <f t="shared" si="1"/>
        <v>4.5999999999999999E-2</v>
      </c>
      <c r="E101" s="53">
        <v>0</v>
      </c>
      <c r="F101" s="53">
        <v>0.28000000000000003</v>
      </c>
      <c r="G101" s="3" t="s">
        <v>51</v>
      </c>
      <c r="K101" s="58"/>
    </row>
    <row r="102" spans="1:11">
      <c r="A102" s="3" t="s">
        <v>147</v>
      </c>
      <c r="B102" s="3">
        <v>13.814261535543384</v>
      </c>
      <c r="C102" s="53">
        <v>7.9525458715596339E-2</v>
      </c>
      <c r="D102" s="53">
        <f t="shared" si="1"/>
        <v>0.15818056832609495</v>
      </c>
      <c r="E102" s="53">
        <v>0.11218056832609494</v>
      </c>
      <c r="F102" s="53">
        <v>0.3</v>
      </c>
      <c r="G102" s="3" t="s">
        <v>46</v>
      </c>
      <c r="K102" s="58"/>
    </row>
    <row r="103" spans="1:11">
      <c r="A103" s="3" t="s">
        <v>148</v>
      </c>
      <c r="B103" s="3">
        <v>375.77071374276341</v>
      </c>
      <c r="C103" s="53">
        <v>7.9525458715596339E-2</v>
      </c>
      <c r="D103" s="53">
        <f t="shared" si="1"/>
        <v>0.15818056832609495</v>
      </c>
      <c r="E103" s="53">
        <v>0.11218056832609494</v>
      </c>
      <c r="F103" s="53">
        <v>0.3</v>
      </c>
      <c r="G103" s="3" t="s">
        <v>44</v>
      </c>
      <c r="K103" s="58"/>
    </row>
    <row r="104" spans="1:11">
      <c r="A104" s="3" t="s">
        <v>149</v>
      </c>
      <c r="B104" s="3">
        <v>398.83195647793656</v>
      </c>
      <c r="C104" s="53">
        <v>0</v>
      </c>
      <c r="D104" s="53">
        <f t="shared" si="1"/>
        <v>4.5999999999999999E-2</v>
      </c>
      <c r="E104" s="53">
        <v>0</v>
      </c>
      <c r="F104" s="53">
        <v>0.22</v>
      </c>
      <c r="G104" s="3" t="s">
        <v>42</v>
      </c>
      <c r="K104" s="58"/>
    </row>
    <row r="105" spans="1:11">
      <c r="A105" s="3" t="s">
        <v>150</v>
      </c>
      <c r="B105" s="3">
        <v>72.642652795838742</v>
      </c>
      <c r="C105" s="53">
        <v>4.4005045871559637E-2</v>
      </c>
      <c r="D105" s="53">
        <f t="shared" si="1"/>
        <v>0.10807460019490968</v>
      </c>
      <c r="E105" s="53">
        <v>6.2074600194909679E-2</v>
      </c>
      <c r="F105" s="53">
        <v>0.15</v>
      </c>
      <c r="G105" s="3" t="s">
        <v>38</v>
      </c>
      <c r="K105" s="58"/>
    </row>
    <row r="106" spans="1:11">
      <c r="A106" s="3" t="s">
        <v>151</v>
      </c>
      <c r="B106" s="3">
        <v>304.95181849406555</v>
      </c>
      <c r="C106" s="53">
        <v>9.1749082568807344E-2</v>
      </c>
      <c r="D106" s="53">
        <f t="shared" si="1"/>
        <v>0.17542351282468094</v>
      </c>
      <c r="E106" s="53">
        <v>0.12942351282468095</v>
      </c>
      <c r="F106" s="53">
        <v>0.28999999999999998</v>
      </c>
      <c r="G106" s="3" t="s">
        <v>57</v>
      </c>
      <c r="K106" s="58"/>
    </row>
    <row r="107" spans="1:11">
      <c r="A107" s="3" t="s">
        <v>152</v>
      </c>
      <c r="B107" s="3">
        <v>61.838175799999995</v>
      </c>
      <c r="C107" s="53">
        <v>2.3296788990825688E-2</v>
      </c>
      <c r="D107" s="53">
        <f t="shared" si="1"/>
        <v>7.8863023632599227E-2</v>
      </c>
      <c r="E107" s="53">
        <v>3.2863023632599235E-2</v>
      </c>
      <c r="F107" s="53">
        <v>0.25</v>
      </c>
      <c r="G107" s="3" t="s">
        <v>46</v>
      </c>
      <c r="K107" s="58"/>
    </row>
    <row r="108" spans="1:11">
      <c r="A108" s="3" t="s">
        <v>153</v>
      </c>
      <c r="B108" s="3">
        <v>21.088758484748524</v>
      </c>
      <c r="C108" s="53">
        <v>6.7301834862385335E-2</v>
      </c>
      <c r="D108" s="53">
        <f t="shared" si="1"/>
        <v>0.14093762382750893</v>
      </c>
      <c r="E108" s="53">
        <v>9.4937623827508935E-2</v>
      </c>
      <c r="F108" s="53">
        <v>0.3</v>
      </c>
      <c r="G108" s="3" t="s">
        <v>57</v>
      </c>
      <c r="K108" s="58"/>
    </row>
    <row r="109" spans="1:11">
      <c r="A109" s="3" t="s">
        <v>154</v>
      </c>
      <c r="B109" s="3">
        <v>29.7348952489053</v>
      </c>
      <c r="C109" s="53">
        <v>3.0630963302752296E-2</v>
      </c>
      <c r="D109" s="53">
        <f t="shared" si="1"/>
        <v>8.9208790331750859E-2</v>
      </c>
      <c r="E109" s="53">
        <v>4.3208790331750853E-2</v>
      </c>
      <c r="F109" s="53">
        <v>0.1</v>
      </c>
      <c r="G109" s="3" t="s">
        <v>46</v>
      </c>
      <c r="K109" s="58"/>
    </row>
    <row r="110" spans="1:11">
      <c r="A110" s="3" t="s">
        <v>155</v>
      </c>
      <c r="B110" s="3">
        <v>211.38927224215658</v>
      </c>
      <c r="C110" s="53">
        <v>1.9557798165137613E-2</v>
      </c>
      <c r="D110" s="53">
        <f t="shared" si="1"/>
        <v>7.3588711197737633E-2</v>
      </c>
      <c r="E110" s="53">
        <v>2.758871119773763E-2</v>
      </c>
      <c r="F110" s="53">
        <v>0.29499999999999998</v>
      </c>
      <c r="G110" s="3" t="s">
        <v>46</v>
      </c>
      <c r="K110" s="58"/>
    </row>
    <row r="111" spans="1:11">
      <c r="A111" s="3" t="s">
        <v>156</v>
      </c>
      <c r="B111" s="3">
        <v>313.59520873726927</v>
      </c>
      <c r="C111" s="53">
        <v>2.3296788990825688E-2</v>
      </c>
      <c r="D111" s="53">
        <f t="shared" si="1"/>
        <v>7.8863023632599227E-2</v>
      </c>
      <c r="E111" s="53">
        <v>3.2863023632599235E-2</v>
      </c>
      <c r="F111" s="53">
        <v>0.25</v>
      </c>
      <c r="G111" s="3" t="s">
        <v>57</v>
      </c>
      <c r="K111" s="58"/>
    </row>
    <row r="112" spans="1:11">
      <c r="A112" s="3" t="s">
        <v>157</v>
      </c>
      <c r="B112" s="3">
        <v>524.5095652634086</v>
      </c>
      <c r="C112" s="53">
        <v>1.0354128440366973E-2</v>
      </c>
      <c r="D112" s="53">
        <f t="shared" si="1"/>
        <v>6.0605788281155218E-2</v>
      </c>
      <c r="E112" s="53">
        <v>1.4605788281155217E-2</v>
      </c>
      <c r="F112" s="53">
        <v>0.19</v>
      </c>
      <c r="G112" s="3" t="s">
        <v>40</v>
      </c>
      <c r="K112" s="58"/>
    </row>
    <row r="113" spans="1:11">
      <c r="A113" s="3" t="s">
        <v>158</v>
      </c>
      <c r="B113" s="3">
        <v>217.57108304599035</v>
      </c>
      <c r="C113" s="53">
        <v>2.3296788990825688E-2</v>
      </c>
      <c r="D113" s="53">
        <f t="shared" si="1"/>
        <v>7.8863023632599227E-2</v>
      </c>
      <c r="E113" s="53">
        <v>3.2863023632599235E-2</v>
      </c>
      <c r="F113" s="53">
        <v>0.21</v>
      </c>
      <c r="G113" s="3" t="s">
        <v>42</v>
      </c>
      <c r="K113" s="58"/>
    </row>
    <row r="114" spans="1:11">
      <c r="A114" s="3" t="s">
        <v>159</v>
      </c>
      <c r="B114" s="3">
        <v>167.60521978021978</v>
      </c>
      <c r="C114" s="53">
        <v>7.3341743119266058E-3</v>
      </c>
      <c r="D114" s="53">
        <f t="shared" si="1"/>
        <v>5.634576669915161E-2</v>
      </c>
      <c r="E114" s="53">
        <v>1.0345766699151613E-2</v>
      </c>
      <c r="F114" s="53">
        <v>0.1</v>
      </c>
      <c r="G114" s="3" t="s">
        <v>38</v>
      </c>
      <c r="K114" s="58"/>
    </row>
    <row r="115" spans="1:11">
      <c r="A115" s="3" t="s">
        <v>591</v>
      </c>
      <c r="B115" s="3">
        <v>5.2</v>
      </c>
      <c r="C115" s="53">
        <v>1.4668348623853212E-2</v>
      </c>
      <c r="D115" s="53">
        <f t="shared" si="1"/>
        <v>6.6691533398303221E-2</v>
      </c>
      <c r="E115" s="53">
        <v>2.0691533398303225E-2</v>
      </c>
      <c r="F115" s="53"/>
      <c r="G115" s="3" t="s">
        <v>38</v>
      </c>
      <c r="K115" s="58"/>
    </row>
    <row r="116" spans="1:11">
      <c r="A116" s="3" t="s">
        <v>162</v>
      </c>
      <c r="B116" s="3">
        <v>211.80328192473783</v>
      </c>
      <c r="C116" s="53">
        <v>2.6891972477064225E-2</v>
      </c>
      <c r="D116" s="53">
        <f t="shared" si="1"/>
        <v>8.3934477896889251E-2</v>
      </c>
      <c r="E116" s="53">
        <v>3.7934477896889252E-2</v>
      </c>
      <c r="F116" s="53">
        <v>0.16</v>
      </c>
      <c r="G116" s="3" t="s">
        <v>40</v>
      </c>
      <c r="K116" s="58"/>
    </row>
    <row r="117" spans="1:11">
      <c r="A117" s="3" t="s">
        <v>163</v>
      </c>
      <c r="B117" s="3">
        <v>1577.5241459631695</v>
      </c>
      <c r="C117" s="53">
        <v>9.1749082568807344E-2</v>
      </c>
      <c r="D117" s="53">
        <f t="shared" si="1"/>
        <v>0.17542351282468094</v>
      </c>
      <c r="E117" s="53">
        <v>0.12942351282468095</v>
      </c>
      <c r="F117" s="53">
        <v>0.2</v>
      </c>
      <c r="G117" s="3" t="s">
        <v>40</v>
      </c>
      <c r="K117" s="58"/>
    </row>
    <row r="118" spans="1:11">
      <c r="A118" s="3" t="s">
        <v>164</v>
      </c>
      <c r="B118" s="3">
        <v>9.1366895140947939</v>
      </c>
      <c r="C118" s="53">
        <v>6.7301834862385335E-2</v>
      </c>
      <c r="D118" s="53">
        <f t="shared" si="1"/>
        <v>0.14093762382750893</v>
      </c>
      <c r="E118" s="53">
        <v>9.4937623827508935E-2</v>
      </c>
      <c r="F118" s="53">
        <v>0.3</v>
      </c>
      <c r="G118" s="3" t="s">
        <v>44</v>
      </c>
      <c r="K118" s="58"/>
    </row>
    <row r="119" spans="1:11">
      <c r="A119" s="3" t="s">
        <v>165</v>
      </c>
      <c r="B119" s="3">
        <v>683.82714428853603</v>
      </c>
      <c r="C119" s="53">
        <v>8.6284403669724778E-3</v>
      </c>
      <c r="D119" s="53">
        <f t="shared" si="1"/>
        <v>5.8171490234296012E-2</v>
      </c>
      <c r="E119" s="53">
        <v>1.2171490234296015E-2</v>
      </c>
      <c r="F119" s="53">
        <v>0.2</v>
      </c>
      <c r="G119" s="3" t="s">
        <v>38</v>
      </c>
      <c r="K119" s="58"/>
    </row>
    <row r="120" spans="1:11">
      <c r="A120" s="3" t="s">
        <v>166</v>
      </c>
      <c r="B120" s="3">
        <v>16.374743753473073</v>
      </c>
      <c r="C120" s="53">
        <v>4.4005045871559637E-2</v>
      </c>
      <c r="D120" s="53">
        <f t="shared" si="1"/>
        <v>0.10807460019490968</v>
      </c>
      <c r="E120" s="53">
        <v>6.2074600194909679E-2</v>
      </c>
      <c r="F120" s="53">
        <v>0.3</v>
      </c>
      <c r="G120" s="3" t="s">
        <v>44</v>
      </c>
      <c r="K120" s="58"/>
    </row>
    <row r="121" spans="1:11">
      <c r="A121" s="3" t="s">
        <v>167</v>
      </c>
      <c r="B121" s="3">
        <v>41.431648801166318</v>
      </c>
      <c r="C121" s="53">
        <v>3.6814678899082569E-2</v>
      </c>
      <c r="D121" s="53">
        <f t="shared" si="1"/>
        <v>9.7931691666329659E-2</v>
      </c>
      <c r="E121" s="53">
        <v>5.193169166632966E-2</v>
      </c>
      <c r="F121" s="53">
        <v>0.15</v>
      </c>
      <c r="G121" s="3" t="s">
        <v>40</v>
      </c>
      <c r="K121" s="58"/>
    </row>
    <row r="122" spans="1:11">
      <c r="A122" s="3" t="s">
        <v>168</v>
      </c>
      <c r="B122" s="3">
        <v>5</v>
      </c>
      <c r="C122" s="53">
        <v>3.0630963302752296E-2</v>
      </c>
      <c r="D122" s="53">
        <f t="shared" si="1"/>
        <v>8.9208790331750859E-2</v>
      </c>
      <c r="E122" s="53">
        <v>4.3208790331750853E-2</v>
      </c>
      <c r="F122" s="53"/>
      <c r="G122" s="3" t="s">
        <v>38</v>
      </c>
      <c r="K122" s="58"/>
    </row>
    <row r="123" spans="1:11">
      <c r="A123" s="3" t="s">
        <v>169</v>
      </c>
      <c r="B123" s="3">
        <v>323.90723441233979</v>
      </c>
      <c r="C123" s="53">
        <v>0</v>
      </c>
      <c r="D123" s="53">
        <f t="shared" si="1"/>
        <v>4.5999999999999999E-2</v>
      </c>
      <c r="E123" s="53">
        <v>0</v>
      </c>
      <c r="F123" s="53">
        <v>0.17</v>
      </c>
      <c r="G123" s="3" t="s">
        <v>57</v>
      </c>
      <c r="K123" s="58"/>
    </row>
    <row r="124" spans="1:11">
      <c r="A124" s="3" t="s">
        <v>170</v>
      </c>
      <c r="B124" s="3">
        <v>95.769031980136219</v>
      </c>
      <c r="C124" s="53">
        <v>1.0354128440366973E-2</v>
      </c>
      <c r="D124" s="53">
        <f t="shared" si="1"/>
        <v>6.0605788281155218E-2</v>
      </c>
      <c r="E124" s="53">
        <v>1.4605788281155217E-2</v>
      </c>
      <c r="F124" s="53">
        <v>0.21</v>
      </c>
      <c r="G124" s="3" t="s">
        <v>40</v>
      </c>
      <c r="K124" s="58"/>
    </row>
    <row r="125" spans="1:11">
      <c r="A125" s="3" t="s">
        <v>171</v>
      </c>
      <c r="B125" s="3">
        <v>48.769655479238807</v>
      </c>
      <c r="C125" s="53">
        <v>1.4668348623853212E-2</v>
      </c>
      <c r="D125" s="53">
        <f t="shared" si="1"/>
        <v>6.6691533398303221E-2</v>
      </c>
      <c r="E125" s="53">
        <v>2.0691533398303225E-2</v>
      </c>
      <c r="F125" s="53">
        <v>0.19</v>
      </c>
      <c r="G125" s="3" t="s">
        <v>40</v>
      </c>
      <c r="K125" s="58"/>
    </row>
    <row r="126" spans="1:11">
      <c r="A126" s="3" t="s">
        <v>608</v>
      </c>
      <c r="B126" s="3">
        <v>1.3034536161197352</v>
      </c>
      <c r="C126" s="53">
        <v>9.1749082568807344E-2</v>
      </c>
      <c r="D126" s="53">
        <f t="shared" si="1"/>
        <v>0.17542351282468094</v>
      </c>
      <c r="E126" s="53">
        <v>0.12942351282468095</v>
      </c>
      <c r="F126" s="53">
        <v>0.3</v>
      </c>
      <c r="G126" s="3" t="s">
        <v>57</v>
      </c>
      <c r="K126" s="58"/>
    </row>
    <row r="127" spans="1:11">
      <c r="A127" s="3" t="s">
        <v>172</v>
      </c>
      <c r="B127" s="3">
        <v>349.41934361408858</v>
      </c>
      <c r="C127" s="53">
        <v>3.6814678899082569E-2</v>
      </c>
      <c r="D127" s="53">
        <f t="shared" si="1"/>
        <v>9.7931691666329659E-2</v>
      </c>
      <c r="E127" s="53">
        <v>5.193169166632966E-2</v>
      </c>
      <c r="F127" s="53">
        <v>0.27</v>
      </c>
      <c r="G127" s="3" t="s">
        <v>44</v>
      </c>
      <c r="K127" s="58"/>
    </row>
    <row r="128" spans="1:11">
      <c r="A128" s="3" t="s">
        <v>173</v>
      </c>
      <c r="B128" s="3">
        <v>1311.3200155159884</v>
      </c>
      <c r="C128" s="53">
        <v>1.9557798165137613E-2</v>
      </c>
      <c r="D128" s="53">
        <f t="shared" si="1"/>
        <v>7.3588711197737633E-2</v>
      </c>
      <c r="E128" s="53">
        <v>2.758871119773763E-2</v>
      </c>
      <c r="F128" s="53">
        <v>0.25</v>
      </c>
      <c r="G128" s="3" t="s">
        <v>42</v>
      </c>
      <c r="K128" s="58"/>
    </row>
    <row r="129" spans="1:11">
      <c r="A129" s="3" t="s">
        <v>174</v>
      </c>
      <c r="B129" s="3">
        <v>87.1746822004324</v>
      </c>
      <c r="C129" s="53">
        <v>0.14682729357798166</v>
      </c>
      <c r="D129" s="53">
        <f t="shared" si="1"/>
        <v>0.25311819215360387</v>
      </c>
      <c r="E129" s="53">
        <v>0.20711819215360386</v>
      </c>
      <c r="F129" s="53">
        <v>0.24</v>
      </c>
      <c r="G129" s="3" t="s">
        <v>57</v>
      </c>
      <c r="K129" s="58"/>
    </row>
    <row r="130" spans="1:11">
      <c r="A130" s="3" t="s">
        <v>175</v>
      </c>
      <c r="B130" s="3">
        <v>1.5</v>
      </c>
      <c r="C130" s="53">
        <v>3.6814678899082569E-2</v>
      </c>
      <c r="D130" s="53">
        <f t="shared" si="1"/>
        <v>9.7931691666329659E-2</v>
      </c>
      <c r="E130" s="53">
        <v>5.193169166632966E-2</v>
      </c>
      <c r="F130" s="53">
        <v>0.35</v>
      </c>
      <c r="G130" s="3" t="s">
        <v>49</v>
      </c>
      <c r="K130" s="58"/>
    </row>
    <row r="131" spans="1:11">
      <c r="A131" s="3" t="s">
        <v>176</v>
      </c>
      <c r="B131" s="3">
        <v>0.77</v>
      </c>
      <c r="C131" s="53">
        <v>7.9525458715596339E-2</v>
      </c>
      <c r="D131" s="53">
        <f t="shared" si="1"/>
        <v>0.15818056832609495</v>
      </c>
      <c r="E131" s="53">
        <v>0.11218056832609494</v>
      </c>
      <c r="F131" s="53"/>
      <c r="G131" s="3" t="s">
        <v>49</v>
      </c>
      <c r="K131" s="58"/>
    </row>
    <row r="132" spans="1:11">
      <c r="A132" s="3" t="s">
        <v>177</v>
      </c>
      <c r="B132" s="3">
        <v>3.3243853252667708</v>
      </c>
      <c r="C132" s="53">
        <v>0.12238004587155965</v>
      </c>
      <c r="D132" s="53">
        <f t="shared" ref="D132:D147" si="2">$D$148+E132</f>
        <v>0.21863230315643184</v>
      </c>
      <c r="E132" s="53">
        <v>0.17263230315643183</v>
      </c>
      <c r="F132" s="53">
        <v>0.36</v>
      </c>
      <c r="G132" s="3" t="s">
        <v>46</v>
      </c>
      <c r="K132" s="58"/>
    </row>
    <row r="133" spans="1:11">
      <c r="A133" s="3" t="s">
        <v>178</v>
      </c>
      <c r="B133" s="3">
        <v>3.72</v>
      </c>
      <c r="C133" s="53">
        <v>7.9525458715596339E-2</v>
      </c>
      <c r="D133" s="53">
        <f t="shared" si="2"/>
        <v>0.15818056832609495</v>
      </c>
      <c r="E133" s="53">
        <v>0.11218056832609494</v>
      </c>
      <c r="F133" s="53">
        <v>0.27500000000000002</v>
      </c>
      <c r="G133" s="3" t="s">
        <v>44</v>
      </c>
      <c r="K133" s="58"/>
    </row>
    <row r="134" spans="1:11">
      <c r="A134" s="3" t="s">
        <v>179</v>
      </c>
      <c r="B134" s="3">
        <v>538.04045821699651</v>
      </c>
      <c r="C134" s="53">
        <v>0</v>
      </c>
      <c r="D134" s="53">
        <f t="shared" si="2"/>
        <v>4.5999999999999999E-2</v>
      </c>
      <c r="E134" s="53">
        <v>0</v>
      </c>
      <c r="F134" s="53">
        <v>0.20599999999999999</v>
      </c>
      <c r="G134" s="3" t="s">
        <v>42</v>
      </c>
      <c r="K134" s="58"/>
    </row>
    <row r="135" spans="1:11">
      <c r="A135" s="3" t="s">
        <v>180</v>
      </c>
      <c r="B135" s="3">
        <v>678.88733684825183</v>
      </c>
      <c r="C135" s="53">
        <v>0</v>
      </c>
      <c r="D135" s="53">
        <f t="shared" si="2"/>
        <v>4.5999999999999999E-2</v>
      </c>
      <c r="E135" s="53">
        <v>0</v>
      </c>
      <c r="F135" s="53">
        <v>0.18</v>
      </c>
      <c r="G135" s="3" t="s">
        <v>42</v>
      </c>
      <c r="K135" s="58"/>
    </row>
    <row r="136" spans="1:11">
      <c r="A136" s="3" t="s">
        <v>181</v>
      </c>
      <c r="B136" s="3">
        <v>970.9</v>
      </c>
      <c r="C136" s="53">
        <v>7.3341743119266058E-3</v>
      </c>
      <c r="D136" s="53">
        <f t="shared" si="2"/>
        <v>5.634576669915161E-2</v>
      </c>
      <c r="E136" s="53">
        <v>1.0345766699151613E-2</v>
      </c>
      <c r="F136" s="53">
        <v>0.2</v>
      </c>
      <c r="G136" s="3" t="s">
        <v>57</v>
      </c>
      <c r="K136" s="58"/>
    </row>
    <row r="137" spans="1:11">
      <c r="A137" s="3" t="s">
        <v>182</v>
      </c>
      <c r="B137" s="3">
        <v>7.1457010187491958</v>
      </c>
      <c r="C137" s="53">
        <v>7.9525458715596339E-2</v>
      </c>
      <c r="D137" s="53">
        <f t="shared" si="2"/>
        <v>0.15818056832609495</v>
      </c>
      <c r="E137" s="53">
        <v>0.11218056832609494</v>
      </c>
      <c r="F137" s="53"/>
      <c r="G137" s="3" t="s">
        <v>40</v>
      </c>
      <c r="K137" s="58"/>
    </row>
    <row r="138" spans="1:11">
      <c r="A138" s="3" t="s">
        <v>609</v>
      </c>
      <c r="B138" s="3">
        <v>52.090320325473591</v>
      </c>
      <c r="C138" s="53">
        <v>6.7301834862385335E-2</v>
      </c>
      <c r="D138" s="53">
        <f t="shared" si="2"/>
        <v>0.14093762382750893</v>
      </c>
      <c r="E138" s="53">
        <v>9.4937623827508935E-2</v>
      </c>
      <c r="F138" s="53"/>
      <c r="G138" s="3" t="s">
        <v>44</v>
      </c>
      <c r="K138" s="58"/>
    </row>
    <row r="139" spans="1:11">
      <c r="A139" s="3" t="s">
        <v>183</v>
      </c>
      <c r="B139" s="3">
        <v>455.22092057112889</v>
      </c>
      <c r="C139" s="53">
        <v>1.9557798165137613E-2</v>
      </c>
      <c r="D139" s="53">
        <f t="shared" si="2"/>
        <v>7.3588711197737633E-2</v>
      </c>
      <c r="E139" s="53">
        <v>2.758871119773763E-2</v>
      </c>
      <c r="F139" s="53">
        <v>0.2</v>
      </c>
      <c r="G139" s="3" t="s">
        <v>57</v>
      </c>
      <c r="K139" s="58"/>
    </row>
    <row r="140" spans="1:11">
      <c r="A140" s="3" t="s">
        <v>184</v>
      </c>
      <c r="B140" s="3">
        <v>22.104775828460038</v>
      </c>
      <c r="C140" s="53">
        <v>3.6814678899082569E-2</v>
      </c>
      <c r="D140" s="53">
        <f t="shared" si="2"/>
        <v>9.7931691666329659E-2</v>
      </c>
      <c r="E140" s="53">
        <v>5.193169166632966E-2</v>
      </c>
      <c r="F140" s="53">
        <v>0.3</v>
      </c>
      <c r="G140" s="3" t="s">
        <v>49</v>
      </c>
      <c r="K140" s="58"/>
    </row>
    <row r="141" spans="1:11">
      <c r="A141" s="3" t="s">
        <v>185</v>
      </c>
      <c r="B141" s="3">
        <v>40.25667520872944</v>
      </c>
      <c r="C141" s="53">
        <v>9.1749082568807344E-2</v>
      </c>
      <c r="D141" s="53">
        <f t="shared" si="2"/>
        <v>0.17542351282468094</v>
      </c>
      <c r="E141" s="53">
        <v>0.12942351282468095</v>
      </c>
      <c r="F141" s="53">
        <v>0.15</v>
      </c>
      <c r="G141" s="3" t="s">
        <v>44</v>
      </c>
      <c r="K141" s="58"/>
    </row>
    <row r="142" spans="1:11">
      <c r="A142" s="3" t="s">
        <v>186</v>
      </c>
      <c r="B142" s="3">
        <v>851.10241111811627</v>
      </c>
      <c r="C142" s="53">
        <v>7.9525458715596339E-2</v>
      </c>
      <c r="D142" s="53">
        <f t="shared" si="2"/>
        <v>0.15818056832609495</v>
      </c>
      <c r="E142" s="53">
        <v>0.11218056832609494</v>
      </c>
      <c r="F142" s="53">
        <v>0.23</v>
      </c>
      <c r="G142" s="3" t="s">
        <v>42</v>
      </c>
      <c r="K142" s="58"/>
    </row>
    <row r="143" spans="1:11">
      <c r="A143" s="3" t="s">
        <v>592</v>
      </c>
      <c r="B143" s="3">
        <v>1.5</v>
      </c>
      <c r="C143" s="53">
        <v>1.9557798165137613E-2</v>
      </c>
      <c r="D143" s="53">
        <f t="shared" si="2"/>
        <v>7.3588711197737633E-2</v>
      </c>
      <c r="E143" s="53">
        <v>2.758871119773763E-2</v>
      </c>
      <c r="F143" s="53">
        <v>0</v>
      </c>
      <c r="G143" s="3" t="s">
        <v>49</v>
      </c>
      <c r="K143" s="58"/>
    </row>
    <row r="144" spans="1:11">
      <c r="A144" s="3" t="s">
        <v>189</v>
      </c>
      <c r="B144" s="3">
        <v>25.891058946193581</v>
      </c>
      <c r="C144" s="53">
        <v>6.7301834862385335E-2</v>
      </c>
      <c r="D144" s="53">
        <f t="shared" si="2"/>
        <v>0.14093762382750893</v>
      </c>
      <c r="E144" s="53">
        <v>9.4937623827508935E-2</v>
      </c>
      <c r="F144" s="53">
        <v>0.3</v>
      </c>
      <c r="G144" s="3" t="s">
        <v>44</v>
      </c>
      <c r="K144" s="58"/>
    </row>
    <row r="145" spans="1:11">
      <c r="A145" s="3" t="s">
        <v>190</v>
      </c>
      <c r="B145" s="3">
        <v>112.1541851214065</v>
      </c>
      <c r="C145" s="53">
        <v>0.12238004587155965</v>
      </c>
      <c r="D145" s="53">
        <f t="shared" si="2"/>
        <v>0.21863230315643184</v>
      </c>
      <c r="E145" s="53">
        <v>0.17263230315643183</v>
      </c>
      <c r="F145" s="53">
        <v>0.18</v>
      </c>
      <c r="G145" s="3" t="s">
        <v>40</v>
      </c>
      <c r="K145" s="58"/>
    </row>
    <row r="146" spans="1:11">
      <c r="A146" s="3" t="s">
        <v>191</v>
      </c>
      <c r="B146" s="3">
        <v>382.57508509189927</v>
      </c>
      <c r="C146" s="53">
        <v>6.0399082568807346E-3</v>
      </c>
      <c r="D146" s="53">
        <f t="shared" si="2"/>
        <v>5.4520043164007208E-2</v>
      </c>
      <c r="E146" s="53">
        <v>8.5200431640072103E-3</v>
      </c>
      <c r="F146" s="53">
        <v>0</v>
      </c>
      <c r="G146" s="3" t="s">
        <v>38</v>
      </c>
      <c r="K146" s="58"/>
    </row>
    <row r="147" spans="1:11">
      <c r="A147" s="3" t="s">
        <v>192</v>
      </c>
      <c r="B147" s="3">
        <v>2622.4339596041618</v>
      </c>
      <c r="C147" s="53">
        <v>7.3341743119266058E-3</v>
      </c>
      <c r="D147" s="53">
        <f t="shared" si="2"/>
        <v>5.634576669915161E-2</v>
      </c>
      <c r="E147" s="53">
        <v>1.0345766699151613E-2</v>
      </c>
      <c r="F147" s="53">
        <v>0.25</v>
      </c>
      <c r="G147" s="3" t="s">
        <v>42</v>
      </c>
      <c r="K147" s="58"/>
    </row>
    <row r="148" spans="1:11">
      <c r="A148" s="3" t="s">
        <v>193</v>
      </c>
      <c r="B148" s="3">
        <v>19390.603999999999</v>
      </c>
      <c r="C148" s="53">
        <v>0</v>
      </c>
      <c r="D148" s="112">
        <v>4.5999999999999999E-2</v>
      </c>
      <c r="E148" s="53">
        <v>0</v>
      </c>
      <c r="F148" s="53">
        <v>0.25</v>
      </c>
      <c r="G148" s="3" t="s">
        <v>73</v>
      </c>
    </row>
    <row r="149" spans="1:11">
      <c r="A149" s="3" t="s">
        <v>194</v>
      </c>
      <c r="B149" s="3">
        <v>56.15697215769584</v>
      </c>
      <c r="C149" s="53">
        <v>2.3296788990825688E-2</v>
      </c>
      <c r="D149" s="53">
        <f>$D$148+E149</f>
        <v>7.8863023632599227E-2</v>
      </c>
      <c r="E149" s="53">
        <v>3.2863023632599235E-2</v>
      </c>
      <c r="F149" s="53">
        <v>0.25</v>
      </c>
      <c r="G149" s="3" t="s">
        <v>46</v>
      </c>
    </row>
    <row r="150" spans="1:11">
      <c r="A150" s="3" t="s">
        <v>195</v>
      </c>
      <c r="B150" s="3">
        <v>250</v>
      </c>
      <c r="C150" s="58">
        <v>0.17499999999999999</v>
      </c>
      <c r="D150" s="53">
        <f t="shared" ref="D150:D152" si="3">$D$148+E150</f>
        <v>0.29285930485826311</v>
      </c>
      <c r="E150" s="58">
        <v>0.2468593048582631</v>
      </c>
      <c r="F150" s="3">
        <v>0.34</v>
      </c>
      <c r="G150" s="3" t="s">
        <v>46</v>
      </c>
    </row>
    <row r="151" spans="1:11">
      <c r="A151" s="3" t="s">
        <v>196</v>
      </c>
      <c r="B151" s="3">
        <v>223.86399635465543</v>
      </c>
      <c r="C151" s="58">
        <v>3.6814678899082569E-2</v>
      </c>
      <c r="D151" s="53">
        <f t="shared" si="3"/>
        <v>9.7931691666329659E-2</v>
      </c>
      <c r="E151" s="58">
        <v>5.193169166632966E-2</v>
      </c>
      <c r="F151" s="3">
        <v>0.2</v>
      </c>
      <c r="G151" s="3" t="s">
        <v>57</v>
      </c>
    </row>
    <row r="152" spans="1:11">
      <c r="A152" s="3" t="s">
        <v>197</v>
      </c>
      <c r="B152" s="3">
        <v>25.808666421555753</v>
      </c>
      <c r="C152" s="58">
        <v>0.14682729357798166</v>
      </c>
      <c r="D152" s="53">
        <f t="shared" si="3"/>
        <v>0.25311819215360387</v>
      </c>
      <c r="E152" s="58">
        <v>0.20711819215360386</v>
      </c>
      <c r="F152" s="3">
        <v>0.35</v>
      </c>
      <c r="G152" s="3" t="s">
        <v>44</v>
      </c>
    </row>
    <row r="155" spans="1:11">
      <c r="A155" s="108" t="s">
        <v>36</v>
      </c>
      <c r="B155" s="109" t="s">
        <v>593</v>
      </c>
      <c r="C155" s="109" t="s">
        <v>594</v>
      </c>
      <c r="D155" s="109" t="s">
        <v>595</v>
      </c>
      <c r="E155" s="109" t="s">
        <v>596</v>
      </c>
    </row>
    <row r="156" spans="1:11">
      <c r="A156" s="110" t="s">
        <v>44</v>
      </c>
      <c r="B156" s="111">
        <f>$B$163+C156</f>
        <v>0.142401362395393</v>
      </c>
      <c r="C156" s="111">
        <v>9.6401362395393E-2</v>
      </c>
      <c r="D156" s="111">
        <v>6.7968936566186106E-2</v>
      </c>
      <c r="E156" s="111">
        <v>0.26380999999999999</v>
      </c>
      <c r="G156" s="131" t="s">
        <v>672</v>
      </c>
      <c r="H156" s="132"/>
    </row>
    <row r="157" spans="1:11">
      <c r="A157" s="110" t="s">
        <v>57</v>
      </c>
      <c r="B157" s="111">
        <f t="shared" ref="B157:B162" si="4">$B$163+C157</f>
        <v>0.10472250790447865</v>
      </c>
      <c r="C157" s="111">
        <v>5.8722507904478645E-2</v>
      </c>
      <c r="D157" s="111">
        <v>4.1403008376545668E-2</v>
      </c>
      <c r="E157" s="111">
        <v>0.23766521739130436</v>
      </c>
      <c r="G157" s="133"/>
      <c r="H157" s="134"/>
    </row>
    <row r="158" spans="1:11">
      <c r="A158" s="110" t="s">
        <v>51</v>
      </c>
      <c r="B158" s="111">
        <f t="shared" si="4"/>
        <v>7.3818373166262136E-2</v>
      </c>
      <c r="C158" s="111">
        <v>2.781837316626214E-2</v>
      </c>
      <c r="D158" s="111">
        <v>1.9613677588466581E-2</v>
      </c>
      <c r="E158" s="111">
        <v>0.28810000000000002</v>
      </c>
      <c r="G158" s="135"/>
      <c r="H158" s="136"/>
    </row>
    <row r="159" spans="1:11">
      <c r="A159" s="110" t="s">
        <v>49</v>
      </c>
      <c r="B159" s="111">
        <f t="shared" si="4"/>
        <v>0.10524141648181556</v>
      </c>
      <c r="C159" s="111">
        <v>5.9241416481815572E-2</v>
      </c>
      <c r="D159" s="111">
        <v>4.1768871091555894E-2</v>
      </c>
      <c r="E159" s="111">
        <v>0.17372857142857143</v>
      </c>
    </row>
    <row r="160" spans="1:11">
      <c r="A160" s="110" t="s">
        <v>46</v>
      </c>
      <c r="B160" s="111">
        <f t="shared" si="4"/>
        <v>0.13339592274926432</v>
      </c>
      <c r="C160" s="111">
        <v>8.7395922749264332E-2</v>
      </c>
      <c r="D160" s="111">
        <v>6.1619543353797331E-2</v>
      </c>
      <c r="E160" s="111">
        <v>0.28298947368421046</v>
      </c>
    </row>
    <row r="161" spans="1:5">
      <c r="A161" s="110" t="s">
        <v>40</v>
      </c>
      <c r="B161" s="111">
        <f t="shared" si="4"/>
        <v>0.10804901234606343</v>
      </c>
      <c r="C161" s="111">
        <v>6.2049012346063435E-2</v>
      </c>
      <c r="D161" s="111">
        <v>4.3748400223290129E-2</v>
      </c>
      <c r="E161" s="111">
        <v>0.16111111111111109</v>
      </c>
    </row>
    <row r="162" spans="1:5">
      <c r="A162" s="110" t="s">
        <v>38</v>
      </c>
      <c r="B162" s="111">
        <f t="shared" si="4"/>
        <v>9.7670924961487146E-2</v>
      </c>
      <c r="C162" s="111">
        <v>5.1670924961487147E-2</v>
      </c>
      <c r="D162" s="111">
        <v>3.6431205262627275E-2</v>
      </c>
      <c r="E162" s="111">
        <v>0.11538461538461539</v>
      </c>
    </row>
    <row r="163" spans="1:5">
      <c r="A163" s="110" t="s">
        <v>73</v>
      </c>
      <c r="B163" s="111">
        <f>D148</f>
        <v>4.5999999999999999E-2</v>
      </c>
      <c r="C163" s="111">
        <v>0</v>
      </c>
      <c r="D163" s="111">
        <v>0</v>
      </c>
      <c r="E163" s="111">
        <v>0.25</v>
      </c>
    </row>
    <row r="164" spans="1:5">
      <c r="A164" s="110" t="s">
        <v>42</v>
      </c>
      <c r="B164" s="111">
        <f>$B$163+C164</f>
        <v>6.1568961313465245E-2</v>
      </c>
      <c r="C164" s="111">
        <v>1.556896131346525E-2</v>
      </c>
      <c r="D164" s="111">
        <v>1.097708287125718E-2</v>
      </c>
      <c r="E164" s="111">
        <v>0.19570000000000004</v>
      </c>
    </row>
    <row r="165" spans="1:5">
      <c r="A165" s="110" t="s">
        <v>597</v>
      </c>
      <c r="B165" s="111">
        <f>$B$163+C165</f>
        <v>0.10694174769514754</v>
      </c>
      <c r="C165" s="111">
        <v>6.0941747695147541E-2</v>
      </c>
      <c r="D165" s="111">
        <v>4.2967710003255659E-2</v>
      </c>
      <c r="E165" s="111">
        <v>0.21332547770700633</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C7" sqref="C7"/>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16384" width="9.140625" style="3"/>
  </cols>
  <sheetData>
    <row r="1" spans="1:5">
      <c r="A1" s="3" t="s">
        <v>599</v>
      </c>
      <c r="B1" s="85" t="s">
        <v>600</v>
      </c>
      <c r="C1" s="85" t="s">
        <v>601</v>
      </c>
      <c r="D1" s="85" t="s">
        <v>602</v>
      </c>
      <c r="E1" s="85" t="s">
        <v>603</v>
      </c>
    </row>
    <row r="2" spans="1:5">
      <c r="A2" s="86" t="s">
        <v>5</v>
      </c>
      <c r="B2" s="88">
        <v>4947.8999999999996</v>
      </c>
      <c r="C2" s="88">
        <v>3728.3</v>
      </c>
      <c r="D2" s="88">
        <v>4027.1</v>
      </c>
      <c r="E2" s="87">
        <f>B2-C2+D2</f>
        <v>5246.6999999999989</v>
      </c>
    </row>
    <row r="3" spans="1:5">
      <c r="A3" s="86" t="s">
        <v>604</v>
      </c>
      <c r="B3" s="88">
        <v>0</v>
      </c>
      <c r="C3" s="88">
        <v>0</v>
      </c>
      <c r="D3" s="88">
        <v>0</v>
      </c>
      <c r="E3" s="87">
        <f>B3-C3+D3</f>
        <v>0</v>
      </c>
    </row>
    <row r="4" spans="1:5">
      <c r="A4" s="86" t="s">
        <v>6</v>
      </c>
      <c r="B4" s="88">
        <v>709.1</v>
      </c>
      <c r="C4" s="88">
        <v>537.1</v>
      </c>
      <c r="D4" s="88">
        <v>812.9</v>
      </c>
      <c r="E4" s="87">
        <f>B4-C4+D4</f>
        <v>984.9</v>
      </c>
    </row>
    <row r="5" spans="1:5">
      <c r="A5" s="86" t="s">
        <v>605</v>
      </c>
      <c r="B5" s="88">
        <v>49.6</v>
      </c>
      <c r="C5" s="88">
        <v>37.9</v>
      </c>
      <c r="D5" s="88">
        <v>26.7</v>
      </c>
      <c r="E5" s="87">
        <f>B5-C5+D5</f>
        <v>38.400000000000006</v>
      </c>
    </row>
    <row r="6" spans="1:5">
      <c r="E6" s="87"/>
    </row>
    <row r="7" spans="1:5">
      <c r="A7" s="74" t="s">
        <v>670</v>
      </c>
      <c r="B7" s="89">
        <v>78.599999999999994</v>
      </c>
      <c r="C7" s="89">
        <v>55.7</v>
      </c>
      <c r="D7" s="89">
        <v>54.3</v>
      </c>
      <c r="E7" s="87">
        <f>B7-C7+D7</f>
        <v>77.199999999999989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0.09</v>
      </c>
      <c r="D2" s="21">
        <f>C2</f>
        <v>0.09</v>
      </c>
      <c r="E2" s="21">
        <f>'Input Sheet'!C23</f>
        <v>0.06</v>
      </c>
      <c r="F2" s="21">
        <f>E2</f>
        <v>0.06</v>
      </c>
      <c r="G2" s="21">
        <f>F2</f>
        <v>0.06</v>
      </c>
      <c r="H2" s="21">
        <f>G2-((G2-'Input Sheet'!B27)/5)</f>
        <v>5.6279999999999997E-2</v>
      </c>
      <c r="I2" s="21">
        <f>G2-((G2-'Input Sheet'!B27)/5)*2</f>
        <v>5.2559999999999996E-2</v>
      </c>
      <c r="J2" s="21">
        <f>G2-((G2-'Input Sheet'!B27)/5)*3</f>
        <v>4.8839999999999995E-2</v>
      </c>
      <c r="K2" s="21">
        <f>G2-((G2-'Input Sheet'!B27)/5)*4</f>
        <v>4.512E-2</v>
      </c>
      <c r="L2" s="21">
        <f>G2-((G2-'Input Sheet'!B27)/5)*5</f>
        <v>4.1399999999999999E-2</v>
      </c>
      <c r="M2" s="21">
        <f>L2</f>
        <v>4.1399999999999999E-2</v>
      </c>
    </row>
    <row r="3" spans="1:14">
      <c r="A3" s="3" t="s">
        <v>5</v>
      </c>
      <c r="B3" s="29">
        <f>'Input Sheet'!B8</f>
        <v>5246.7</v>
      </c>
      <c r="C3" s="29">
        <f>B3*(1+C2)</f>
        <v>5718.9030000000002</v>
      </c>
      <c r="D3" s="29">
        <f t="shared" ref="D3:L3" si="0">C3*(1+D2)</f>
        <v>6233.6042700000007</v>
      </c>
      <c r="E3" s="29">
        <f t="shared" si="0"/>
        <v>6607.6205262000012</v>
      </c>
      <c r="F3" s="29">
        <f t="shared" si="0"/>
        <v>7004.0777577720019</v>
      </c>
      <c r="G3" s="29">
        <f t="shared" si="0"/>
        <v>7424.3224232383227</v>
      </c>
      <c r="H3" s="29">
        <f t="shared" si="0"/>
        <v>7842.163289218176</v>
      </c>
      <c r="I3" s="29">
        <f t="shared" si="0"/>
        <v>8254.3473916994826</v>
      </c>
      <c r="J3" s="29">
        <f t="shared" si="0"/>
        <v>8657.4897183100857</v>
      </c>
      <c r="K3" s="29">
        <f t="shared" si="0"/>
        <v>9048.115654400237</v>
      </c>
      <c r="L3" s="29">
        <f t="shared" si="0"/>
        <v>9422.7076424924071</v>
      </c>
      <c r="M3" s="45">
        <f>L3*(1+M2)</f>
        <v>9812.8077388915935</v>
      </c>
    </row>
    <row r="4" spans="1:14">
      <c r="A4" s="3" t="s">
        <v>350</v>
      </c>
      <c r="B4" s="21">
        <f>B5/B3</f>
        <v>0.20243200487925742</v>
      </c>
      <c r="C4" s="21">
        <f>'Input Sheet'!$B$24-(('Input Sheet'!$B$24-$B$4)/10)*(10-C1)</f>
        <v>0.20418880439133166</v>
      </c>
      <c r="D4" s="21">
        <f>'Input Sheet'!$B$24-(('Input Sheet'!$B$24-$B$4)/10)*(10-D1)</f>
        <v>0.20594560390340594</v>
      </c>
      <c r="E4" s="21">
        <f>'Input Sheet'!$B$24-(('Input Sheet'!$B$24-$B$4)/10)*(10-E1)</f>
        <v>0.20770240341548019</v>
      </c>
      <c r="F4" s="21">
        <f>'Input Sheet'!$B$24-(('Input Sheet'!$B$24-$B$4)/10)*(10-F1)</f>
        <v>0.20945920292755446</v>
      </c>
      <c r="G4" s="21">
        <f>'Input Sheet'!$B$24-(('Input Sheet'!$B$24-$B$4)/10)*(10-G1)</f>
        <v>0.21121600243962871</v>
      </c>
      <c r="H4" s="21">
        <f>'Input Sheet'!$B$24-(('Input Sheet'!$B$24-$B$4)/10)*(10-H1)</f>
        <v>0.21297280195170296</v>
      </c>
      <c r="I4" s="21">
        <f>'Input Sheet'!$B$24-(('Input Sheet'!$B$24-$B$4)/10)*(10-I1)</f>
        <v>0.21472960146377723</v>
      </c>
      <c r="J4" s="21">
        <f>'Input Sheet'!$B$24-(('Input Sheet'!$B$24-$B$4)/10)*(10-J1)</f>
        <v>0.21648640097585148</v>
      </c>
      <c r="K4" s="21">
        <f>'Input Sheet'!$B$24-(('Input Sheet'!$B$24-$B$4)/10)*(10-K1)</f>
        <v>0.21824320048792575</v>
      </c>
      <c r="L4" s="21">
        <f>'Input Sheet'!$B$24-(('Input Sheet'!$B$24-$B$4)/10)*(10-L1)</f>
        <v>0.22</v>
      </c>
      <c r="M4" s="21">
        <f>L4</f>
        <v>0.22</v>
      </c>
    </row>
    <row r="5" spans="1:14">
      <c r="A5" s="3" t="s">
        <v>351</v>
      </c>
      <c r="B5" s="30">
        <f>IF('Input Sheet'!B14="Yes",IF('Input Sheet'!B13="Yes",'Input Sheet'!B9+'Operating lease converter'!F32+'R&amp; D converter'!D39,'Input Sheet'!B9+'Operating lease converter'!F32),IF('Input Sheet'!B13="Yes",'Input Sheet'!B9+'R&amp; D converter'!D39,'Input Sheet'!B9))</f>
        <v>1062.0999999999999</v>
      </c>
      <c r="C5" s="30">
        <f t="shared" ref="C5:M5" si="1">C4*C3</f>
        <v>1167.735966</v>
      </c>
      <c r="D5" s="30">
        <f t="shared" si="1"/>
        <v>1283.7833958800002</v>
      </c>
      <c r="E5" s="30">
        <f t="shared" si="1"/>
        <v>1372.4186641492001</v>
      </c>
      <c r="F5" s="30">
        <f t="shared" si="1"/>
        <v>1467.0685443855364</v>
      </c>
      <c r="G5" s="30">
        <f t="shared" si="1"/>
        <v>1568.1357030592958</v>
      </c>
      <c r="H5" s="30">
        <f t="shared" si="1"/>
        <v>1670.1674890675781</v>
      </c>
      <c r="I5" s="30">
        <f t="shared" si="1"/>
        <v>1772.4527257631989</v>
      </c>
      <c r="J5" s="30">
        <f t="shared" si="1"/>
        <v>1874.2287906023887</v>
      </c>
      <c r="K5" s="30">
        <f t="shared" si="1"/>
        <v>1974.6897188012103</v>
      </c>
      <c r="L5" s="30">
        <f t="shared" si="1"/>
        <v>2072.9956813483295</v>
      </c>
      <c r="M5" s="30">
        <f t="shared" si="1"/>
        <v>2158.8177025561504</v>
      </c>
      <c r="N5" s="46">
        <f>M5-B5</f>
        <v>1096.7177025561505</v>
      </c>
    </row>
    <row r="6" spans="1:14">
      <c r="A6" s="3" t="s">
        <v>352</v>
      </c>
      <c r="B6" s="21">
        <f>'Input Sheet'!B20</f>
        <v>0.23287671232876711</v>
      </c>
      <c r="C6" s="21">
        <f>B6</f>
        <v>0.23287671232876711</v>
      </c>
      <c r="D6" s="21">
        <f>C6</f>
        <v>0.23287671232876711</v>
      </c>
      <c r="E6" s="21">
        <f>D6</f>
        <v>0.23287671232876711</v>
      </c>
      <c r="F6" s="21">
        <f>E6</f>
        <v>0.23287671232876711</v>
      </c>
      <c r="G6" s="21">
        <f>F6</f>
        <v>0.23287671232876711</v>
      </c>
      <c r="H6" s="21">
        <f>G6+($M$6-$G$6)/5</f>
        <v>0.2363013698630137</v>
      </c>
      <c r="I6" s="21">
        <f>H6+($M$6-$G$6)/5</f>
        <v>0.23972602739726029</v>
      </c>
      <c r="J6" s="21">
        <f>I6+($M$6-$G$6)/5</f>
        <v>0.24315068493150688</v>
      </c>
      <c r="K6" s="21">
        <f>J6+($M$6-$G$6)/5</f>
        <v>0.24657534246575347</v>
      </c>
      <c r="L6" s="21">
        <f>K6+($M$6-$G$6)/5</f>
        <v>0.25000000000000006</v>
      </c>
      <c r="M6" s="21">
        <f>IF('Input Sheet'!B49="Yes",'Input Sheet'!B20,'Input Sheet'!B21)</f>
        <v>0.25</v>
      </c>
    </row>
    <row r="7" spans="1:14">
      <c r="A7" s="3" t="s">
        <v>353</v>
      </c>
      <c r="B7" s="29">
        <f>IF(B5&gt;0,B5*(1-B6),B5)</f>
        <v>814.76164383561627</v>
      </c>
      <c r="C7" s="29">
        <f>IF(C5&gt;0,IF(C5&lt;B10,C5,C5-(C5-B10)*C6),C5)</f>
        <v>895.79745336986298</v>
      </c>
      <c r="D7" s="29">
        <f t="shared" ref="D7:L7" si="2">IF(D5&gt;0,IF(D5&lt;C10,D5,D5-(D5-C10)*D6),D5)</f>
        <v>984.82013930520566</v>
      </c>
      <c r="E7" s="29">
        <f t="shared" si="2"/>
        <v>1052.814317703496</v>
      </c>
      <c r="F7" s="29">
        <f t="shared" si="2"/>
        <v>1125.4224450080828</v>
      </c>
      <c r="G7" s="29">
        <f t="shared" si="2"/>
        <v>1202.9534160454873</v>
      </c>
      <c r="H7" s="29">
        <f t="shared" si="2"/>
        <v>1275.5046235002394</v>
      </c>
      <c r="I7" s="29">
        <f t="shared" si="2"/>
        <v>1347.5496750665416</v>
      </c>
      <c r="J7" s="29">
        <f t="shared" si="2"/>
        <v>1418.5087764490681</v>
      </c>
      <c r="K7" s="29">
        <f t="shared" si="2"/>
        <v>1487.7799251241995</v>
      </c>
      <c r="L7" s="29">
        <f t="shared" si="2"/>
        <v>1554.7467610112471</v>
      </c>
      <c r="M7" s="29">
        <f>M5*(1-M6)</f>
        <v>1619.1132769171127</v>
      </c>
    </row>
    <row r="8" spans="1:14">
      <c r="A8" s="3" t="s">
        <v>354</v>
      </c>
      <c r="B8" s="47"/>
      <c r="C8" s="29">
        <f t="shared" ref="C8:L8" si="3">(C3-B3)/C38</f>
        <v>314.80200000000031</v>
      </c>
      <c r="D8" s="29">
        <f t="shared" si="3"/>
        <v>343.1341800000003</v>
      </c>
      <c r="E8" s="29">
        <f t="shared" si="3"/>
        <v>187.00812810000025</v>
      </c>
      <c r="F8" s="29">
        <f t="shared" si="3"/>
        <v>198.22861578600032</v>
      </c>
      <c r="G8" s="29">
        <f t="shared" si="3"/>
        <v>210.12233273316042</v>
      </c>
      <c r="H8" s="29">
        <f t="shared" si="3"/>
        <v>208.92043298992667</v>
      </c>
      <c r="I8" s="29">
        <f t="shared" si="3"/>
        <v>206.09205124065329</v>
      </c>
      <c r="J8" s="29">
        <f t="shared" si="3"/>
        <v>201.57116330530152</v>
      </c>
      <c r="K8" s="29">
        <f t="shared" si="3"/>
        <v>195.31296804507565</v>
      </c>
      <c r="L8" s="29">
        <f t="shared" si="3"/>
        <v>187.29599404608507</v>
      </c>
      <c r="M8" s="29">
        <f>(M2/M40)*M7</f>
        <v>601.7171424090526</v>
      </c>
      <c r="N8" s="46">
        <f>SUM(C8:M8)</f>
        <v>2854.2050086552563</v>
      </c>
    </row>
    <row r="9" spans="1:14">
      <c r="A9" s="3" t="s">
        <v>355</v>
      </c>
      <c r="B9" s="47"/>
      <c r="C9" s="29">
        <f t="shared" ref="C9:L9" si="4">C7-C8</f>
        <v>580.99545336986262</v>
      </c>
      <c r="D9" s="29">
        <f t="shared" si="4"/>
        <v>641.68595930520542</v>
      </c>
      <c r="E9" s="29">
        <f t="shared" si="4"/>
        <v>865.8061896034958</v>
      </c>
      <c r="F9" s="29">
        <f t="shared" si="4"/>
        <v>927.19382922208251</v>
      </c>
      <c r="G9" s="29">
        <f t="shared" si="4"/>
        <v>992.83108331232688</v>
      </c>
      <c r="H9" s="29">
        <f t="shared" si="4"/>
        <v>1066.5841905103127</v>
      </c>
      <c r="I9" s="29">
        <f t="shared" si="4"/>
        <v>1141.4576238258883</v>
      </c>
      <c r="J9" s="29">
        <f t="shared" si="4"/>
        <v>1216.9376131437666</v>
      </c>
      <c r="K9" s="29">
        <f t="shared" si="4"/>
        <v>1292.4669570791239</v>
      </c>
      <c r="L9" s="29">
        <f t="shared" si="4"/>
        <v>1367.4507669651621</v>
      </c>
      <c r="M9" s="29">
        <f>M7-M8</f>
        <v>1017.3961345080601</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7.5329046708143332E-2</v>
      </c>
      <c r="D12" s="21">
        <f>C12</f>
        <v>7.5329046708143332E-2</v>
      </c>
      <c r="E12" s="21">
        <f>D12</f>
        <v>7.5329046708143332E-2</v>
      </c>
      <c r="F12" s="21">
        <f>E12</f>
        <v>7.5329046708143332E-2</v>
      </c>
      <c r="G12" s="21">
        <f>F12</f>
        <v>7.5329046708143332E-2</v>
      </c>
      <c r="H12" s="21">
        <f>G12-($G$12-$M$12)/5</f>
        <v>7.7543237366514667E-2</v>
      </c>
      <c r="I12" s="21">
        <f>H12-($G$12-$M$12)/5</f>
        <v>7.9757428024886001E-2</v>
      </c>
      <c r="J12" s="21">
        <f>I12-($G$12-$M$12)/5</f>
        <v>8.1971618683257336E-2</v>
      </c>
      <c r="K12" s="21">
        <f>J12-($G$12-$M$12)/5</f>
        <v>8.418580934162867E-2</v>
      </c>
      <c r="L12" s="21">
        <f>K12-($G$12-$M$12)/5</f>
        <v>8.6400000000000005E-2</v>
      </c>
      <c r="M12" s="21">
        <f>IF('Input Sheet'!B38="Yes",'Input Sheet'!B39,'Input Sheet'!B27+0.045)</f>
        <v>8.6400000000000005E-2</v>
      </c>
    </row>
    <row r="13" spans="1:14">
      <c r="A13" s="3" t="s">
        <v>358</v>
      </c>
      <c r="C13" s="48">
        <f>1/(1+C12)</f>
        <v>0.92994791041984337</v>
      </c>
      <c r="D13" s="48">
        <f>C13*(1/(1+D12))</f>
        <v>0.86480311609423299</v>
      </c>
      <c r="E13" s="48">
        <f t="shared" ref="E13:L13" si="6">D13*(1/(1+E12))</f>
        <v>0.80422185073640118</v>
      </c>
      <c r="F13" s="48">
        <f t="shared" si="6"/>
        <v>0.74788442960629542</v>
      </c>
      <c r="G13" s="48">
        <f t="shared" si="6"/>
        <v>0.69549356254791084</v>
      </c>
      <c r="H13" s="48">
        <f t="shared" si="6"/>
        <v>0.64544376358175426</v>
      </c>
      <c r="I13" s="48">
        <f t="shared" si="6"/>
        <v>0.59776737518019485</v>
      </c>
      <c r="J13" s="48">
        <f t="shared" si="6"/>
        <v>0.5524797183753013</v>
      </c>
      <c r="K13" s="48">
        <f t="shared" si="6"/>
        <v>0.50958028929634713</v>
      </c>
      <c r="L13" s="48">
        <f t="shared" si="6"/>
        <v>0.469054021811807</v>
      </c>
    </row>
    <row r="14" spans="1:14">
      <c r="A14" s="3" t="s">
        <v>359</v>
      </c>
      <c r="C14" s="29">
        <f t="shared" ref="C14:L14" si="7">C9*C13</f>
        <v>540.29550782473325</v>
      </c>
      <c r="D14" s="29">
        <f t="shared" si="7"/>
        <v>554.93201716105887</v>
      </c>
      <c r="E14" s="29">
        <f t="shared" si="7"/>
        <v>696.30025618195486</v>
      </c>
      <c r="F14" s="29">
        <f t="shared" si="7"/>
        <v>693.43382810223409</v>
      </c>
      <c r="G14" s="29">
        <f t="shared" si="7"/>
        <v>690.50762714119185</v>
      </c>
      <c r="H14" s="29">
        <f t="shared" si="7"/>
        <v>688.42011409977499</v>
      </c>
      <c r="I14" s="29">
        <f t="shared" si="7"/>
        <v>682.32612767382352</v>
      </c>
      <c r="J14" s="29">
        <f t="shared" si="7"/>
        <v>672.33334978997959</v>
      </c>
      <c r="K14" s="29">
        <f t="shared" si="7"/>
        <v>658.61568589434944</v>
      </c>
      <c r="L14" s="29">
        <f t="shared" si="7"/>
        <v>641.40828187464933</v>
      </c>
    </row>
    <row r="16" spans="1:14">
      <c r="A16" s="13" t="s">
        <v>360</v>
      </c>
      <c r="B16" s="29">
        <f>M9</f>
        <v>1017.3961345080601</v>
      </c>
    </row>
    <row r="17" spans="1:2">
      <c r="A17" s="3" t="s">
        <v>361</v>
      </c>
      <c r="B17" s="21">
        <f>M12</f>
        <v>8.6400000000000005E-2</v>
      </c>
    </row>
    <row r="18" spans="1:2">
      <c r="A18" s="3" t="s">
        <v>362</v>
      </c>
      <c r="B18" s="29">
        <f>B16/(B17-'Input Sheet'!B27)</f>
        <v>22608.802989067997</v>
      </c>
    </row>
    <row r="19" spans="1:2">
      <c r="A19" s="3" t="s">
        <v>363</v>
      </c>
      <c r="B19" s="29">
        <f>B18*L13</f>
        <v>10604.749970373148</v>
      </c>
    </row>
    <row r="20" spans="1:2">
      <c r="A20" s="3" t="s">
        <v>364</v>
      </c>
      <c r="B20" s="29">
        <f>SUM(C14:L14)</f>
        <v>6518.5727957437493</v>
      </c>
    </row>
    <row r="21" spans="1:2">
      <c r="A21" s="3" t="s">
        <v>365</v>
      </c>
      <c r="B21" s="29">
        <f>B19+B20</f>
        <v>17123.322766116897</v>
      </c>
    </row>
    <row r="22" spans="1:2">
      <c r="A22" s="3" t="s">
        <v>366</v>
      </c>
      <c r="B22" s="21">
        <f>IF('Input Sheet'!B44="Yes",'Input Sheet'!B45,0)</f>
        <v>0</v>
      </c>
    </row>
    <row r="23" spans="1:2">
      <c r="A23" s="3" t="s">
        <v>367</v>
      </c>
      <c r="B23" s="29">
        <f>IF('Input Sheet'!B46="B",('Input Sheet'!B11+'Input Sheet'!B12)*'Input Sheet'!B47,'Valuation Output'!B21*'Input Sheet'!B47)</f>
        <v>2165.6999999999998</v>
      </c>
    </row>
    <row r="24" spans="1:2">
      <c r="A24" s="3" t="s">
        <v>368</v>
      </c>
      <c r="B24" s="29">
        <f>B21*(1-B22)+B23*B22</f>
        <v>17123.322766116897</v>
      </c>
    </row>
    <row r="25" spans="1:2">
      <c r="A25" s="3" t="s">
        <v>369</v>
      </c>
      <c r="B25" s="29">
        <f>IF('Input Sheet'!B14="Yes",'Input Sheet'!B12+'Operating lease converter'!C28,'Input Sheet'!B12)+'Input Sheet'!F16</f>
        <v>1739.8999999999999</v>
      </c>
    </row>
    <row r="26" spans="1:2">
      <c r="A26" s="3" t="s">
        <v>370</v>
      </c>
      <c r="B26" s="29">
        <f>'Input Sheet'!B17</f>
        <v>11.4</v>
      </c>
    </row>
    <row r="27" spans="1:2">
      <c r="A27" s="3" t="s">
        <v>371</v>
      </c>
      <c r="B27" s="29">
        <f>IF('Input Sheet'!B54="YES",'Input Sheet'!B15-'Input Sheet'!B55*('Input Sheet'!B21-'Input Sheet'!B56),'Input Sheet'!B15)</f>
        <v>590.69999999999993</v>
      </c>
    </row>
    <row r="28" spans="1:2">
      <c r="A28" s="3" t="s">
        <v>372</v>
      </c>
      <c r="B28" s="29">
        <f>'Input Sheet'!B16</f>
        <v>0</v>
      </c>
    </row>
    <row r="29" spans="1:2">
      <c r="A29" s="3" t="s">
        <v>373</v>
      </c>
      <c r="B29" s="29">
        <f>B24-B25-B26+B27+B28</f>
        <v>15962.722766116898</v>
      </c>
    </row>
    <row r="30" spans="1:2">
      <c r="A30" s="3" t="s">
        <v>374</v>
      </c>
      <c r="B30" s="29">
        <f>IF('Input Sheet'!B30="No",0,'Option value'!D27)</f>
        <v>0</v>
      </c>
    </row>
    <row r="31" spans="1:2">
      <c r="A31" s="3" t="s">
        <v>375</v>
      </c>
      <c r="B31" s="29">
        <f>B29-B30</f>
        <v>15962.722766116898</v>
      </c>
    </row>
    <row r="32" spans="1:2">
      <c r="A32" s="3" t="s">
        <v>376</v>
      </c>
      <c r="B32" s="23">
        <f>'Input Sheet'!B18</f>
        <v>53.62</v>
      </c>
    </row>
    <row r="33" spans="1:13">
      <c r="A33" s="3" t="s">
        <v>377</v>
      </c>
      <c r="B33" s="51">
        <f>B31/B32</f>
        <v>297.70090947625698</v>
      </c>
    </row>
    <row r="34" spans="1:13">
      <c r="A34" s="3" t="s">
        <v>378</v>
      </c>
      <c r="B34" s="29">
        <f>'Input Sheet'!B19</f>
        <v>331.24</v>
      </c>
    </row>
    <row r="35" spans="1:13">
      <c r="A35" s="27" t="s">
        <v>379</v>
      </c>
      <c r="B35" s="49">
        <f>B34/B33</f>
        <v>1.1126603562708226</v>
      </c>
      <c r="D35" s="50">
        <f>(B33-B34)/B34</f>
        <v>-0.10125314129858419</v>
      </c>
      <c r="E35" s="3" t="str">
        <f>IF(D35&gt;0,"upside","downside")</f>
        <v>downside</v>
      </c>
    </row>
    <row r="37" spans="1:13">
      <c r="A37" s="13" t="s">
        <v>380</v>
      </c>
      <c r="B37" s="13"/>
      <c r="M37" s="3" t="s">
        <v>598</v>
      </c>
    </row>
    <row r="38" spans="1:13">
      <c r="A38" s="3" t="s">
        <v>381</v>
      </c>
      <c r="C38" s="23">
        <f>'Input Sheet'!B25</f>
        <v>1.5</v>
      </c>
      <c r="D38" s="23">
        <f t="shared" ref="D38:L38" si="8">C38</f>
        <v>1.5</v>
      </c>
      <c r="E38" s="23">
        <f>'Input Sheet'!C25</f>
        <v>2</v>
      </c>
      <c r="F38" s="23">
        <f t="shared" si="8"/>
        <v>2</v>
      </c>
      <c r="G38" s="23">
        <f t="shared" si="8"/>
        <v>2</v>
      </c>
      <c r="H38" s="23">
        <f t="shared" si="8"/>
        <v>2</v>
      </c>
      <c r="I38" s="23">
        <f t="shared" si="8"/>
        <v>2</v>
      </c>
      <c r="J38" s="23">
        <f t="shared" si="8"/>
        <v>2</v>
      </c>
      <c r="K38" s="23">
        <f t="shared" si="8"/>
        <v>2</v>
      </c>
      <c r="L38" s="23">
        <f t="shared" si="8"/>
        <v>2</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3740.7</v>
      </c>
      <c r="C39" s="29">
        <f t="shared" ref="C39:L39" si="9">B39+C8</f>
        <v>4055.502</v>
      </c>
      <c r="D39" s="29">
        <f t="shared" si="9"/>
        <v>4398.6361800000004</v>
      </c>
      <c r="E39" s="29">
        <f t="shared" si="9"/>
        <v>4585.6443081000007</v>
      </c>
      <c r="F39" s="29">
        <f t="shared" si="9"/>
        <v>4783.8729238860014</v>
      </c>
      <c r="G39" s="29">
        <f t="shared" si="9"/>
        <v>4993.9952566191623</v>
      </c>
      <c r="H39" s="29">
        <f t="shared" si="9"/>
        <v>5202.915689609089</v>
      </c>
      <c r="I39" s="29">
        <f t="shared" si="9"/>
        <v>5409.0077408497418</v>
      </c>
      <c r="J39" s="29">
        <f t="shared" si="9"/>
        <v>5610.5789041550433</v>
      </c>
      <c r="K39" s="29">
        <f t="shared" si="9"/>
        <v>5805.891872200119</v>
      </c>
      <c r="L39" s="29">
        <f t="shared" si="9"/>
        <v>5993.1878662462041</v>
      </c>
    </row>
    <row r="40" spans="1:13">
      <c r="A40" s="3" t="s">
        <v>383</v>
      </c>
      <c r="B40" s="28">
        <f t="shared" ref="B40:L40" si="10">B7/B39</f>
        <v>0.21780994034154472</v>
      </c>
      <c r="C40" s="28">
        <f t="shared" si="10"/>
        <v>0.22088448073009531</v>
      </c>
      <c r="D40" s="28">
        <f t="shared" si="10"/>
        <v>0.22389215634224277</v>
      </c>
      <c r="E40" s="28">
        <f t="shared" si="10"/>
        <v>0.22958918026935135</v>
      </c>
      <c r="F40" s="28">
        <f t="shared" si="10"/>
        <v>0.23525341557231158</v>
      </c>
      <c r="G40" s="28">
        <f t="shared" si="10"/>
        <v>0.24087996768740694</v>
      </c>
      <c r="H40" s="28">
        <f t="shared" si="10"/>
        <v>0.24515189166866397</v>
      </c>
      <c r="I40" s="28">
        <f t="shared" si="10"/>
        <v>0.24913066122823571</v>
      </c>
      <c r="J40" s="28">
        <f t="shared" si="10"/>
        <v>0.25282752469599151</v>
      </c>
      <c r="K40" s="28">
        <f t="shared" si="10"/>
        <v>0.25625346766239576</v>
      </c>
      <c r="L40" s="28">
        <f t="shared" si="10"/>
        <v>0.25941899298161886</v>
      </c>
      <c r="M40" s="28">
        <f>IF('Input Sheet'!B41="Yes",'Input Sheet'!B42,'Valuation Output'!L12)</f>
        <v>0.1114</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7" workbookViewId="0">
      <selection activeCell="K46" sqref="K46"/>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No</v>
      </c>
      <c r="T6" s="52" t="str">
        <f>IF(V7&gt;X7,"Yes","No")</f>
        <v>No</v>
      </c>
      <c r="V6" s="3" t="str">
        <f>'Input Sheet'!I21</f>
        <v>Company</v>
      </c>
      <c r="W6" s="3" t="str">
        <f>'Input Sheet'!J21</f>
        <v>Industry (US data)</v>
      </c>
      <c r="X6" s="3" t="str">
        <f>'Input Sheet'!K21</f>
        <v>Industry (Global data)</v>
      </c>
    </row>
    <row r="7" spans="16:24">
      <c r="Q7" s="3" t="str">
        <f>'Input Sheet'!E22</f>
        <v>Revenue growth in the most recent year =</v>
      </c>
      <c r="V7" s="53">
        <f>'Input Sheet'!I22</f>
        <v>8.1318811430191484E-2</v>
      </c>
      <c r="W7" s="53">
        <f>'Input Sheet'!J22</f>
        <v>0.14907829787234042</v>
      </c>
      <c r="X7" s="53">
        <f>'Input Sheet'!K22</f>
        <v>0.1064847262247839</v>
      </c>
    </row>
    <row r="9" spans="16:24">
      <c r="Q9" s="1" t="s">
        <v>632</v>
      </c>
      <c r="S9" s="52" t="str">
        <f>IF(V10&lt;W10,"Yes","No")</f>
        <v>No</v>
      </c>
      <c r="T9" s="52" t="str">
        <f>IF(V10&lt;X10,"Yes","No")</f>
        <v>Yes</v>
      </c>
    </row>
    <row r="10" spans="16:24">
      <c r="Q10" s="3" t="s">
        <v>633</v>
      </c>
      <c r="V10" s="53">
        <f>'Valuation Output'!M12</f>
        <v>8.6400000000000005E-2</v>
      </c>
      <c r="W10" s="53">
        <f>'Input Sheet'!J27</f>
        <v>8.6066369218673763E-2</v>
      </c>
      <c r="X10" s="53">
        <f>'Input Sheet'!K27</f>
        <v>0.10179248713393692</v>
      </c>
    </row>
    <row r="12" spans="16:24">
      <c r="P12" s="9" t="s">
        <v>634</v>
      </c>
    </row>
    <row r="14" spans="16:24">
      <c r="Q14" s="1" t="s">
        <v>635</v>
      </c>
      <c r="S14" s="52" t="str">
        <f>IF(V15&lt;W15,"Yes","No")</f>
        <v>No</v>
      </c>
      <c r="T14" s="52" t="str">
        <f>IF(V15&lt;X15,"Yes","No")</f>
        <v>Yes</v>
      </c>
    </row>
    <row r="15" spans="16:24">
      <c r="Q15" s="3" t="str">
        <f>'Input Sheet'!A25</f>
        <v>Sales to capital ratio  (for computing reinvestment) =</v>
      </c>
      <c r="V15" s="54">
        <f>'Input Sheet'!B25</f>
        <v>1.5</v>
      </c>
      <c r="W15" s="54">
        <f>'Input Sheet'!J24</f>
        <v>1.4659763013390332</v>
      </c>
      <c r="X15" s="54">
        <f>'Input Sheet'!K24</f>
        <v>1.6654991268788271</v>
      </c>
    </row>
    <row r="16" spans="16:24">
      <c r="P16" s="9" t="s">
        <v>638</v>
      </c>
    </row>
    <row r="17" spans="1:20">
      <c r="Q17" s="1" t="s">
        <v>636</v>
      </c>
      <c r="S17" s="52" t="str">
        <f>IF(V15&gt;W15,"Yes","No")</f>
        <v>Yes</v>
      </c>
      <c r="T17" s="52" t="str">
        <f>IF(V15&gt;X15,"Yes","No")</f>
        <v>No</v>
      </c>
    </row>
    <row r="18" spans="1:20">
      <c r="P18" s="9" t="s">
        <v>637</v>
      </c>
    </row>
    <row r="19" spans="1:20">
      <c r="P19" s="9" t="s">
        <v>648</v>
      </c>
    </row>
    <row r="20" spans="1:20">
      <c r="P20" s="9" t="s">
        <v>649</v>
      </c>
    </row>
    <row r="27" spans="1:20">
      <c r="A27" s="3" t="s">
        <v>618</v>
      </c>
      <c r="C27" s="55">
        <f>'Valuation Output'!M3</f>
        <v>9812.8077388915935</v>
      </c>
      <c r="E27" s="9" t="s">
        <v>621</v>
      </c>
    </row>
    <row r="28" spans="1:20">
      <c r="A28" s="3" t="s">
        <v>619</v>
      </c>
      <c r="C28" s="53">
        <f>'Valuation Output'!M2</f>
        <v>4.1399999999999999E-2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9.9459529234535535E-2</v>
      </c>
      <c r="C30" s="56">
        <f>('Valuation Output'!D7-'Valuation Output'!C7)/'Valuation Output'!C7</f>
        <v>9.9378141342612622E-2</v>
      </c>
      <c r="D30" s="56">
        <f>('Valuation Output'!E7-'Valuation Output'!D7)/'Valuation Output'!D7</f>
        <v>6.9042229829154936E-2</v>
      </c>
      <c r="E30" s="56">
        <f>('Valuation Output'!F7-'Valuation Output'!E7)/'Valuation Output'!E7</f>
        <v>6.8965748360040255E-2</v>
      </c>
      <c r="F30" s="56">
        <f>('Valuation Output'!G7-'Valuation Output'!F7)/'Valuation Output'!F7</f>
        <v>6.8890549838685367E-2</v>
      </c>
      <c r="G30" s="56">
        <f>('Valuation Output'!H7-'Valuation Output'!G7)/'Valuation Output'!G7</f>
        <v>6.0310903553732226E-2</v>
      </c>
      <c r="H30" s="56">
        <f>('Valuation Output'!I7-'Valuation Output'!H7)/'Valuation Output'!H7</f>
        <v>5.6483567553519451E-2</v>
      </c>
      <c r="I30" s="56">
        <f>('Valuation Output'!J7-'Valuation Output'!I7)/'Valuation Output'!I7</f>
        <v>5.2657874285059386E-2</v>
      </c>
      <c r="J30" s="56">
        <f>('Valuation Output'!K7-'Valuation Output'!J7)/'Valuation Output'!J7</f>
        <v>4.883378222624523E-2</v>
      </c>
      <c r="K30" s="56">
        <f>('Valuation Output'!L7-'Valuation Output'!K7)/'Valuation Output'!K7</f>
        <v>4.5011251164352992E-2</v>
      </c>
      <c r="L30" s="57">
        <f>('Valuation Output'!M7-'Valuation Output'!L7)/'Valuation Output'!L7</f>
        <v>4.139999999999993E-2</v>
      </c>
      <c r="M30" s="58"/>
    </row>
    <row r="31" spans="1:20">
      <c r="A31" s="16" t="s">
        <v>622</v>
      </c>
      <c r="L31" s="17"/>
    </row>
    <row r="32" spans="1:20">
      <c r="A32" s="16"/>
      <c r="B32" s="53">
        <f>'Valuation Output'!C2</f>
        <v>0.09</v>
      </c>
      <c r="C32" s="53">
        <f>'Valuation Output'!D2</f>
        <v>0.09</v>
      </c>
      <c r="D32" s="53">
        <f>'Valuation Output'!E2</f>
        <v>0.06</v>
      </c>
      <c r="E32" s="53">
        <f>'Valuation Output'!F2</f>
        <v>0.06</v>
      </c>
      <c r="F32" s="53">
        <f>'Valuation Output'!G2</f>
        <v>0.06</v>
      </c>
      <c r="G32" s="53">
        <f>'Valuation Output'!H2</f>
        <v>5.6279999999999997E-2</v>
      </c>
      <c r="H32" s="53">
        <f>'Valuation Output'!I2</f>
        <v>5.2559999999999996E-2</v>
      </c>
      <c r="I32" s="53">
        <f>'Valuation Output'!J2</f>
        <v>4.8839999999999995E-2</v>
      </c>
      <c r="J32" s="53">
        <f>'Valuation Output'!K2</f>
        <v>4.512E-2</v>
      </c>
      <c r="K32" s="53">
        <f>'Valuation Output'!L2</f>
        <v>4.1399999999999999E-2</v>
      </c>
      <c r="L32" s="59">
        <f>'Valuation Output'!M2</f>
        <v>4.1399999999999999E-2</v>
      </c>
    </row>
    <row r="33" spans="1:12">
      <c r="A33" s="16" t="s">
        <v>624</v>
      </c>
      <c r="L33" s="17"/>
    </row>
    <row r="34" spans="1:12">
      <c r="A34" s="16"/>
      <c r="B34" s="53">
        <f>B30-B32</f>
        <v>9.4595292345355381E-3</v>
      </c>
      <c r="C34" s="53">
        <f t="shared" ref="C34:L34" si="0">C30-C32</f>
        <v>9.3781413426126253E-3</v>
      </c>
      <c r="D34" s="53">
        <f t="shared" si="0"/>
        <v>9.042229829154938E-3</v>
      </c>
      <c r="E34" s="53">
        <f t="shared" si="0"/>
        <v>8.9657483600402571E-3</v>
      </c>
      <c r="F34" s="53">
        <f t="shared" si="0"/>
        <v>8.8905498386853687E-3</v>
      </c>
      <c r="G34" s="53">
        <f t="shared" si="0"/>
        <v>4.0309035537322291E-3</v>
      </c>
      <c r="H34" s="53">
        <f t="shared" si="0"/>
        <v>3.9235675535194553E-3</v>
      </c>
      <c r="I34" s="53">
        <f t="shared" si="0"/>
        <v>3.8178742850593916E-3</v>
      </c>
      <c r="J34" s="53">
        <f t="shared" si="0"/>
        <v>3.7137822262452297E-3</v>
      </c>
      <c r="K34" s="53">
        <f t="shared" si="0"/>
        <v>3.6112511643529924E-3</v>
      </c>
      <c r="L34" s="59">
        <f t="shared" si="0"/>
        <v>-6.9388939039072284E-17</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1062</v>
      </c>
    </row>
    <row r="44" spans="1:12">
      <c r="I44" s="16" t="s">
        <v>653</v>
      </c>
      <c r="K44" s="92">
        <v>709</v>
      </c>
    </row>
    <row r="45" spans="1:12">
      <c r="A45" s="3" t="s">
        <v>639</v>
      </c>
      <c r="C45" s="55">
        <f>'Valuation Output'!B34</f>
        <v>331.24</v>
      </c>
      <c r="I45" s="16" t="s">
        <v>654</v>
      </c>
      <c r="K45" s="92">
        <v>532</v>
      </c>
    </row>
    <row r="46" spans="1:12">
      <c r="A46" s="3" t="s">
        <v>513</v>
      </c>
      <c r="C46" s="55">
        <f>'Valuation Output'!B33</f>
        <v>297.70090947625698</v>
      </c>
      <c r="I46" s="16" t="s">
        <v>655</v>
      </c>
      <c r="K46" s="62">
        <f>AVERAGE(K43:K45)</f>
        <v>767.66666666666663</v>
      </c>
    </row>
    <row r="47" spans="1:12">
      <c r="A47" s="3" t="s">
        <v>640</v>
      </c>
      <c r="C47" s="53">
        <f>'Cost of capital worksheet'!B48</f>
        <v>7.8475846005793437E-2</v>
      </c>
      <c r="I47" s="16"/>
      <c r="K47" s="17"/>
    </row>
    <row r="48" spans="1:12">
      <c r="A48" s="3" t="s">
        <v>641</v>
      </c>
      <c r="C48" s="53">
        <f>'Option value'!D6</f>
        <v>1.47E-2</v>
      </c>
      <c r="I48" s="16" t="s">
        <v>656</v>
      </c>
      <c r="K48" s="92">
        <v>424</v>
      </c>
    </row>
    <row r="49" spans="1:11">
      <c r="A49" s="3" t="s">
        <v>642</v>
      </c>
      <c r="C49" s="53">
        <f>C47-C48</f>
        <v>6.3775846005793432E-2</v>
      </c>
      <c r="I49" s="16" t="s">
        <v>657</v>
      </c>
      <c r="K49" s="92">
        <v>472</v>
      </c>
    </row>
    <row r="50" spans="1:11">
      <c r="D50" s="3" t="s">
        <v>645</v>
      </c>
      <c r="E50" s="3" t="s">
        <v>646</v>
      </c>
      <c r="I50" s="16" t="s">
        <v>658</v>
      </c>
      <c r="K50" s="92">
        <v>508</v>
      </c>
    </row>
    <row r="51" spans="1:11">
      <c r="A51" s="3" t="s">
        <v>643</v>
      </c>
      <c r="C51" s="63">
        <f>C46*(1+(C47-C48))^1</f>
        <v>316.68703683479936</v>
      </c>
      <c r="D51" s="64">
        <f>(C51-$C$45)/$C$45</f>
        <v>-4.3934800039852222E-2</v>
      </c>
      <c r="E51" s="53">
        <f>D51+C48</f>
        <v>-2.9234800039852224E-2</v>
      </c>
      <c r="I51" s="16" t="s">
        <v>655</v>
      </c>
      <c r="K51" s="62">
        <f>AVERAGE(K48:K50)</f>
        <v>468</v>
      </c>
    </row>
    <row r="52" spans="1:11">
      <c r="A52" s="3" t="s">
        <v>644</v>
      </c>
      <c r="C52" s="63">
        <f>C46*(1+(C47-C48))^2</f>
        <v>336.88402052800654</v>
      </c>
      <c r="D52" s="64">
        <f>(C52-$C$45)/$C$45</f>
        <v>1.7039066924304236E-2</v>
      </c>
      <c r="E52" s="53">
        <f>D52+C48</f>
        <v>3.1739066924304234E-2</v>
      </c>
      <c r="I52" s="16"/>
      <c r="K52" s="17"/>
    </row>
    <row r="53" spans="1:11">
      <c r="I53" s="16" t="s">
        <v>659</v>
      </c>
      <c r="K53" s="62">
        <f>K46-K51</f>
        <v>299.66666666666663</v>
      </c>
    </row>
    <row r="54" spans="1:11">
      <c r="I54" s="16" t="s">
        <v>660</v>
      </c>
      <c r="K54" s="65">
        <f>K53/K51</f>
        <v>0.64031339031339018</v>
      </c>
    </row>
    <row r="55" spans="1:11">
      <c r="I55" s="16"/>
      <c r="K55" s="17"/>
    </row>
    <row r="56" spans="1:11">
      <c r="I56" s="16" t="s">
        <v>661</v>
      </c>
      <c r="K56" s="17"/>
    </row>
    <row r="57" spans="1:11">
      <c r="I57" s="66">
        <f>AVERAGE('Valuation Output'!K5:M5)</f>
        <v>2068.8343675685633</v>
      </c>
      <c r="K57" s="17"/>
    </row>
    <row r="58" spans="1:11">
      <c r="I58" s="16" t="s">
        <v>659</v>
      </c>
      <c r="K58" s="67">
        <f>I57-K46</f>
        <v>1301.1677009018968</v>
      </c>
    </row>
    <row r="59" spans="1:11">
      <c r="I59" s="26" t="s">
        <v>660</v>
      </c>
      <c r="J59" s="27"/>
      <c r="K59" s="68">
        <f>K58/K46</f>
        <v>1.6949644388648244</v>
      </c>
    </row>
    <row r="100" spans="9:13">
      <c r="I100" s="115" t="s">
        <v>664</v>
      </c>
      <c r="J100" s="115"/>
      <c r="K100" s="115"/>
      <c r="L100" s="115"/>
      <c r="M100" s="115"/>
    </row>
    <row r="101" spans="9:13">
      <c r="J101" s="3" t="s">
        <v>665</v>
      </c>
      <c r="K101" s="3" t="s">
        <v>666</v>
      </c>
      <c r="M101" s="1" t="s">
        <v>663</v>
      </c>
    </row>
    <row r="102" spans="9:13">
      <c r="J102" s="69">
        <v>1689</v>
      </c>
      <c r="K102" s="69">
        <v>1620</v>
      </c>
      <c r="M102" s="3">
        <f>'TTM Calc'!E7</f>
        <v>77.199999999999989</v>
      </c>
    </row>
    <row r="103" spans="9:13">
      <c r="I103" s="3" t="s">
        <v>667</v>
      </c>
      <c r="J103" s="69">
        <v>13535</v>
      </c>
      <c r="K103" s="69">
        <v>13264</v>
      </c>
      <c r="M103" s="1" t="s">
        <v>671</v>
      </c>
    </row>
    <row r="104" spans="9:13">
      <c r="I104" s="3" t="s">
        <v>668</v>
      </c>
      <c r="J104" s="70">
        <f>J102+J103</f>
        <v>15224</v>
      </c>
      <c r="K104" s="70">
        <f>K102+K103</f>
        <v>14884</v>
      </c>
      <c r="M104" s="3">
        <f>'TTM Calc'!E4+'TTM Calc'!E7</f>
        <v>1062.0999999999999</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331.24</v>
      </c>
    </row>
    <row r="3" spans="1:6">
      <c r="A3" s="3" t="s">
        <v>386</v>
      </c>
      <c r="D3" s="71">
        <f>'Input Sheet'!B32</f>
        <v>82.6</v>
      </c>
    </row>
    <row r="4" spans="1:6">
      <c r="A4" s="3" t="s">
        <v>387</v>
      </c>
      <c r="D4" s="47">
        <f>'Input Sheet'!B33</f>
        <v>5.6</v>
      </c>
    </row>
    <row r="5" spans="1:6">
      <c r="A5" s="3" t="s">
        <v>388</v>
      </c>
      <c r="D5" s="21">
        <f>'Input Sheet'!B34</f>
        <v>0.184</v>
      </c>
    </row>
    <row r="6" spans="1:6">
      <c r="A6" s="3" t="s">
        <v>389</v>
      </c>
      <c r="D6" s="72">
        <v>1.47E-2</v>
      </c>
    </row>
    <row r="7" spans="1:6">
      <c r="A7" s="3" t="s">
        <v>390</v>
      </c>
      <c r="D7" s="21">
        <f>'Input Sheet'!B27</f>
        <v>4.1399999999999999E-2</v>
      </c>
    </row>
    <row r="8" spans="1:6">
      <c r="A8" s="3" t="s">
        <v>391</v>
      </c>
      <c r="D8" s="23">
        <f>'Input Sheet'!B31</f>
        <v>3.6</v>
      </c>
    </row>
    <row r="9" spans="1:6">
      <c r="A9" s="3" t="s">
        <v>392</v>
      </c>
      <c r="D9" s="47">
        <f>'Input Sheet'!B18</f>
        <v>53.62</v>
      </c>
    </row>
    <row r="11" spans="1:6">
      <c r="A11" s="3" t="s">
        <v>393</v>
      </c>
    </row>
    <row r="12" spans="1:6">
      <c r="A12" s="3" t="s">
        <v>394</v>
      </c>
    </row>
    <row r="13" spans="1:6">
      <c r="A13" s="3" t="s">
        <v>395</v>
      </c>
      <c r="C13" s="29">
        <f>D2</f>
        <v>331.24</v>
      </c>
      <c r="D13" s="3" t="s">
        <v>406</v>
      </c>
      <c r="F13" s="23">
        <f>D8</f>
        <v>3.6</v>
      </c>
    </row>
    <row r="14" spans="1:6">
      <c r="A14" s="3" t="s">
        <v>396</v>
      </c>
      <c r="C14" s="71">
        <f>D3</f>
        <v>82.6</v>
      </c>
      <c r="D14" s="3" t="s">
        <v>407</v>
      </c>
      <c r="F14" s="47">
        <f>D9</f>
        <v>53.62</v>
      </c>
    </row>
    <row r="15" spans="1:6">
      <c r="A15" s="3" t="s">
        <v>397</v>
      </c>
      <c r="C15" s="47">
        <f ca="1">(C13*F14+C26*F13)/(F14+F13)</f>
        <v>325.11718888094413</v>
      </c>
      <c r="D15" s="3" t="s">
        <v>408</v>
      </c>
      <c r="F15" s="21">
        <f>D7</f>
        <v>4.1399999999999999E-2</v>
      </c>
    </row>
    <row r="16" spans="1:6">
      <c r="A16" s="3" t="s">
        <v>398</v>
      </c>
      <c r="C16" s="71">
        <f>C14</f>
        <v>82.6</v>
      </c>
      <c r="D16" s="3" t="s">
        <v>409</v>
      </c>
      <c r="F16" s="47">
        <f>D5^2</f>
        <v>3.3855999999999997E-2</v>
      </c>
    </row>
    <row r="17" spans="1:6">
      <c r="A17" s="3" t="s">
        <v>399</v>
      </c>
      <c r="C17" s="47">
        <f>D4</f>
        <v>5.6</v>
      </c>
      <c r="D17" s="3" t="s">
        <v>410</v>
      </c>
      <c r="F17" s="47">
        <f>D6</f>
        <v>1.47E-2</v>
      </c>
    </row>
    <row r="18" spans="1:6">
      <c r="D18" s="3" t="s">
        <v>411</v>
      </c>
      <c r="F18" s="21">
        <f>F15-F17</f>
        <v>2.6700000000000002E-2</v>
      </c>
    </row>
    <row r="20" spans="1:6">
      <c r="A20" s="3" t="s">
        <v>400</v>
      </c>
      <c r="B20" s="47">
        <f ca="1">(LN(C15/C16)+(F18+(F16/2))*C17)/(((F16)^(0.5))*(C17^0.5))</f>
        <v>3.7078681368082096</v>
      </c>
    </row>
    <row r="21" spans="1:6">
      <c r="A21" s="3" t="s">
        <v>401</v>
      </c>
      <c r="B21" s="47">
        <f ca="1">NORMSDIST(B20)</f>
        <v>0.9998954942810796</v>
      </c>
    </row>
    <row r="23" spans="1:6">
      <c r="A23" s="3" t="s">
        <v>402</v>
      </c>
      <c r="B23" s="47">
        <f ca="1">B20-((F16^0.5)*(C17^(0.5)))</f>
        <v>3.272444664772078</v>
      </c>
    </row>
    <row r="24" spans="1:6">
      <c r="A24" s="3" t="s">
        <v>403</v>
      </c>
      <c r="B24" s="47">
        <f ca="1">NORMSDIST(B23)</f>
        <v>0.99946689129364108</v>
      </c>
    </row>
    <row r="26" spans="1:6">
      <c r="A26" s="3" t="s">
        <v>404</v>
      </c>
      <c r="C26" s="47">
        <f ca="1">((EXP((0-F17)*C17))*C15*B21-C16*(EXP((0-F15)*C17))*B24)</f>
        <v>233.92131882433904</v>
      </c>
    </row>
    <row r="27" spans="1:6">
      <c r="A27" s="3" t="s">
        <v>405</v>
      </c>
      <c r="D27" s="47">
        <f ca="1">C26*D8</f>
        <v>842.11674776762061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D9" sqref="D9"/>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69.400000000000006</v>
      </c>
      <c r="G7" s="74" t="s">
        <v>432</v>
      </c>
    </row>
    <row r="8" spans="1:7">
      <c r="A8" s="3" t="s">
        <v>418</v>
      </c>
    </row>
    <row r="9" spans="1:7">
      <c r="A9" s="3" t="s">
        <v>419</v>
      </c>
    </row>
    <row r="10" spans="1:7">
      <c r="A10" s="1" t="s">
        <v>420</v>
      </c>
      <c r="B10" s="1" t="s">
        <v>435</v>
      </c>
    </row>
    <row r="11" spans="1:7">
      <c r="A11" s="1">
        <v>-1</v>
      </c>
      <c r="B11" s="90">
        <v>66.099999999999994</v>
      </c>
      <c r="C11" s="75" t="s">
        <v>433</v>
      </c>
    </row>
    <row r="12" spans="1:7">
      <c r="A12" s="1">
        <f t="shared" ref="A12:A20" si="0">IF((0-A11)&lt;$F$6,IF(A11&gt;-1,,A11-1),)</f>
        <v>-2</v>
      </c>
      <c r="B12" s="90">
        <v>61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69.400000000000006</v>
      </c>
      <c r="C24" s="47">
        <f>1</f>
        <v>1</v>
      </c>
      <c r="D24" s="47">
        <f t="shared" ref="D24:D34" si="1">B24*C24</f>
        <v>69.400000000000006</v>
      </c>
    </row>
    <row r="25" spans="1:5">
      <c r="A25" s="1">
        <f t="shared" ref="A25:B34" si="2">A11</f>
        <v>-1</v>
      </c>
      <c r="B25" s="47">
        <f t="shared" si="2"/>
        <v>66.099999999999994</v>
      </c>
      <c r="C25" s="47">
        <f t="shared" ref="C25:C34" si="3">IF(A25&lt;0,($F$6+A25)/$F$6,0)</f>
        <v>0.5</v>
      </c>
      <c r="D25" s="47">
        <f t="shared" si="1"/>
        <v>33.049999999999997</v>
      </c>
      <c r="E25" s="47">
        <f t="shared" ref="E25:E34" si="4">IF(A25&lt;0,B25/$F$6,0)</f>
        <v>33.049999999999997</v>
      </c>
    </row>
    <row r="26" spans="1:5">
      <c r="A26" s="1">
        <f t="shared" si="2"/>
        <v>-2</v>
      </c>
      <c r="B26" s="47">
        <f t="shared" si="2"/>
        <v>61</v>
      </c>
      <c r="C26" s="47">
        <f t="shared" si="3"/>
        <v>0</v>
      </c>
      <c r="D26" s="47">
        <f t="shared" si="1"/>
        <v>0</v>
      </c>
      <c r="E26" s="47">
        <f t="shared" si="4"/>
        <v>30.5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102.45</v>
      </c>
      <c r="E35" s="47">
        <f>SUM(E25:E34)</f>
        <v>63.55</v>
      </c>
    </row>
    <row r="37" spans="1:5">
      <c r="A37" s="3" t="s">
        <v>424</v>
      </c>
      <c r="D37" s="47">
        <f>E35</f>
        <v>63.55</v>
      </c>
    </row>
    <row r="39" spans="1:5">
      <c r="A39" s="3" t="s">
        <v>425</v>
      </c>
      <c r="D39" s="47">
        <f>F7-D37</f>
        <v>5.8500000000000085</v>
      </c>
      <c r="E39" s="3" t="s">
        <v>430</v>
      </c>
    </row>
    <row r="40" spans="1:5">
      <c r="A40" s="3" t="s">
        <v>426</v>
      </c>
      <c r="D40" s="47">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4.8799999999999996E-2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44.622425629290618</v>
      </c>
    </row>
    <row r="23" spans="1:7">
      <c r="A23" s="1">
        <f t="shared" si="0"/>
        <v>2</v>
      </c>
      <c r="B23" s="47">
        <f t="shared" si="0"/>
        <v>45.2</v>
      </c>
      <c r="C23" s="47">
        <f>B23/(1+$C$15)^A23</f>
        <v>41.091602418309904</v>
      </c>
    </row>
    <row r="24" spans="1:7">
      <c r="A24" s="1">
        <f t="shared" si="0"/>
        <v>3</v>
      </c>
      <c r="B24" s="47">
        <f t="shared" si="0"/>
        <v>39.5</v>
      </c>
      <c r="C24" s="47">
        <f>B24/(1+$C$15)^A24</f>
        <v>34.238841345930133</v>
      </c>
    </row>
    <row r="25" spans="1:7">
      <c r="A25" s="1">
        <f t="shared" si="0"/>
        <v>4</v>
      </c>
      <c r="B25" s="47">
        <f t="shared" si="0"/>
        <v>35.9</v>
      </c>
      <c r="C25" s="47">
        <f>B25/(1+$C$15)^A25</f>
        <v>29.670422721057751</v>
      </c>
    </row>
    <row r="26" spans="1:7">
      <c r="A26" s="1">
        <f t="shared" si="0"/>
        <v>5</v>
      </c>
      <c r="B26" s="47">
        <f t="shared" si="0"/>
        <v>34.700000000000003</v>
      </c>
      <c r="C26" s="47">
        <f>B26/(1+$C$15)^A26</f>
        <v>27.344254115612276</v>
      </c>
    </row>
    <row r="27" spans="1:7">
      <c r="A27" s="1" t="str">
        <f>A12</f>
        <v>6 and beyond</v>
      </c>
      <c r="B27" s="47">
        <f>IF(B12&gt;0,IF(D18&gt;0,B12/D18,B12),0)</f>
        <v>40.880000000000003</v>
      </c>
      <c r="C27" s="47">
        <f>IF(D18&gt;0,(B27*(1-(1+C15)^(-D18))/C15)/(1+$C$15)^5,B27/(1+C15)^6)</f>
        <v>139.93453673767073</v>
      </c>
      <c r="D27" s="3" t="s">
        <v>452</v>
      </c>
    </row>
    <row r="28" spans="1:7">
      <c r="A28" s="1" t="s">
        <v>442</v>
      </c>
      <c r="C28" s="47">
        <f>SUM(C22:C27)</f>
        <v>316.90208296787137</v>
      </c>
    </row>
    <row r="30" spans="1:7">
      <c r="A30" s="1" t="s">
        <v>443</v>
      </c>
    </row>
    <row r="31" spans="1:7">
      <c r="A31" s="3" t="s">
        <v>444</v>
      </c>
      <c r="F31" s="47">
        <f>C28/(5+D18)</f>
        <v>31.690208296787137</v>
      </c>
      <c r="G31" s="74" t="s">
        <v>455</v>
      </c>
    </row>
    <row r="32" spans="1:7">
      <c r="A32" s="3" t="s">
        <v>445</v>
      </c>
      <c r="F32" s="47">
        <f>E4-F31</f>
        <v>17.309791703212863</v>
      </c>
      <c r="G32" s="74" t="s">
        <v>456</v>
      </c>
    </row>
    <row r="33" spans="1:7">
      <c r="A33" s="3" t="s">
        <v>446</v>
      </c>
      <c r="F33" s="47">
        <f>C28</f>
        <v>316.90208296787137</v>
      </c>
      <c r="G33" s="74" t="s">
        <v>457</v>
      </c>
    </row>
    <row r="34" spans="1:7">
      <c r="A34" s="3" t="s">
        <v>447</v>
      </c>
      <c r="F34" s="47">
        <f>C28/(5+D18)</f>
        <v>31.690208296787137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13" workbookViewId="0">
      <selection activeCell="I48" sqref="I48"/>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4.5999999999999999E-2</v>
      </c>
      <c r="K3" s="21">
        <f t="shared" ref="K3:K13" si="0">IF(I3&gt;0,I3/$I$14,)</f>
        <v>0.90580448065173114</v>
      </c>
      <c r="L3" s="21">
        <f t="shared" ref="L3:L13" si="1">IF(K3=0,0,J3*K3)</f>
        <v>4.1667006109979629E-2</v>
      </c>
    </row>
    <row r="4" spans="1:12">
      <c r="A4" s="3" t="s">
        <v>462</v>
      </c>
      <c r="B4" s="47">
        <f>'Input Sheet'!B18</f>
        <v>53.62</v>
      </c>
      <c r="H4" s="90" t="s">
        <v>72</v>
      </c>
      <c r="I4" s="90">
        <v>279.5</v>
      </c>
      <c r="J4" s="21">
        <f>IF(I4=0,0,VLOOKUP(H4,'Country equity risk premiums'!$A$2:$D$152,4))</f>
        <v>4.5999999999999999E-2</v>
      </c>
      <c r="K4" s="21">
        <f t="shared" si="0"/>
        <v>6.4687094982410667E-2</v>
      </c>
      <c r="L4" s="21">
        <f t="shared" si="1"/>
        <v>2.9756063691908905E-3</v>
      </c>
    </row>
    <row r="5" spans="1:12">
      <c r="A5" s="3" t="s">
        <v>463</v>
      </c>
      <c r="B5" s="29">
        <f>'Input Sheet'!B19</f>
        <v>331.24</v>
      </c>
      <c r="H5" s="90" t="s">
        <v>192</v>
      </c>
      <c r="I5" s="90">
        <v>127.5</v>
      </c>
      <c r="J5" s="21">
        <f>IF(I5=0,0,VLOOKUP(H5,'Country equity risk premiums'!$A$2:$D$152,4))</f>
        <v>5.634576669915161E-2</v>
      </c>
      <c r="K5" s="21">
        <f t="shared" si="0"/>
        <v>2.9508424365858172E-2</v>
      </c>
      <c r="L5" s="21">
        <f t="shared" si="1"/>
        <v>1.6626747949782053E-3</v>
      </c>
    </row>
    <row r="6" spans="1:12">
      <c r="H6" s="90"/>
      <c r="I6" s="90"/>
      <c r="J6" s="21">
        <f>IF(I6=0,0,VLOOKUP(H6,'Country equity risk premiums'!$A$2:$D$152,4))</f>
        <v>0</v>
      </c>
      <c r="K6" s="21">
        <f t="shared" si="0"/>
        <v>0</v>
      </c>
      <c r="L6" s="21">
        <f t="shared" si="1"/>
        <v>0</v>
      </c>
    </row>
    <row r="7" spans="1:12">
      <c r="A7" s="3" t="s">
        <v>464</v>
      </c>
      <c r="B7" s="90" t="s">
        <v>558</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0.71092358601035632</v>
      </c>
      <c r="H9" s="90"/>
      <c r="I9" s="90"/>
      <c r="J9" s="21">
        <f>IF(I9=0,0,VLOOKUP(H9,'Country equity risk premiums'!$A$2:$D$152,4))</f>
        <v>0</v>
      </c>
      <c r="K9" s="21">
        <f t="shared" si="0"/>
        <v>0</v>
      </c>
      <c r="L9" s="21">
        <f t="shared" si="1"/>
        <v>0</v>
      </c>
    </row>
    <row r="10" spans="1:12">
      <c r="A10" s="3" t="s">
        <v>467</v>
      </c>
      <c r="B10" s="21">
        <f>'Input Sheet'!B27</f>
        <v>4.1399999999999999E-2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4.9156147321762322E-2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4.6305287274148725E-2</v>
      </c>
    </row>
    <row r="15" spans="1:12">
      <c r="A15" s="3" t="s">
        <v>471</v>
      </c>
      <c r="H15" s="3" t="s">
        <v>506</v>
      </c>
    </row>
    <row r="16" spans="1:12">
      <c r="A16" s="3" t="s">
        <v>472</v>
      </c>
      <c r="B16" s="29">
        <f>'Input Sheet'!B12</f>
        <v>1580.8999999999999</v>
      </c>
      <c r="H16" s="12" t="s">
        <v>36</v>
      </c>
      <c r="I16" s="13" t="s">
        <v>5</v>
      </c>
      <c r="J16" s="13" t="s">
        <v>510</v>
      </c>
      <c r="K16" s="13" t="s">
        <v>512</v>
      </c>
      <c r="L16" s="14" t="s">
        <v>514</v>
      </c>
    </row>
    <row r="17" spans="1:12">
      <c r="A17" s="3" t="s">
        <v>473</v>
      </c>
      <c r="B17" s="29">
        <f>'Input Sheet'!B10</f>
        <v>38.4</v>
      </c>
      <c r="H17" s="90" t="str">
        <f>'Country equity risk premiums'!A156</f>
        <v>Africa</v>
      </c>
      <c r="I17" s="90">
        <v>0</v>
      </c>
      <c r="J17" s="21">
        <f>'Country equity risk premiums'!B156</f>
        <v>0.142401362395393</v>
      </c>
      <c r="K17" s="21">
        <f t="shared" ref="K17:K26" si="2">I17/$I$27</f>
        <v>0</v>
      </c>
      <c r="L17" s="21">
        <f t="shared" ref="L17:L26" si="3">J17*K17</f>
        <v>0</v>
      </c>
    </row>
    <row r="18" spans="1:12">
      <c r="A18" s="3" t="s">
        <v>474</v>
      </c>
      <c r="B18" s="90">
        <v>4</v>
      </c>
      <c r="H18" s="90" t="str">
        <f>'Country equity risk premiums'!A157</f>
        <v>Asia</v>
      </c>
      <c r="I18" s="90">
        <v>0</v>
      </c>
      <c r="J18" s="21">
        <f>'Country equity risk premiums'!B157</f>
        <v>0.10472250790447865</v>
      </c>
      <c r="K18" s="21">
        <f t="shared" si="2"/>
        <v>0</v>
      </c>
      <c r="L18" s="21">
        <f t="shared" si="3"/>
        <v>0</v>
      </c>
    </row>
    <row r="19" spans="1:12">
      <c r="A19" s="3" t="s">
        <v>475</v>
      </c>
      <c r="B19" s="90" t="s">
        <v>499</v>
      </c>
      <c r="H19" s="90" t="str">
        <f>'Country equity risk premiums'!A158</f>
        <v>Australia &amp; New Zealand</v>
      </c>
      <c r="I19" s="90">
        <v>0</v>
      </c>
      <c r="J19" s="21">
        <f>'Country equity risk premiums'!B158</f>
        <v>7.3818373166262136E-2</v>
      </c>
      <c r="K19" s="21">
        <f t="shared" si="2"/>
        <v>0</v>
      </c>
      <c r="L19" s="21">
        <f t="shared" si="3"/>
        <v>0</v>
      </c>
    </row>
    <row r="20" spans="1:12">
      <c r="A20" s="3" t="s">
        <v>476</v>
      </c>
      <c r="B20" s="91">
        <v>3.5000000000000003E-2</v>
      </c>
      <c r="H20" s="90" t="str">
        <f>'Country equity risk premiums'!A159</f>
        <v>Caribbean</v>
      </c>
      <c r="I20" s="90">
        <v>0</v>
      </c>
      <c r="J20" s="21">
        <f>'Country equity risk premiums'!B159</f>
        <v>0.10524141648181556</v>
      </c>
      <c r="K20" s="21">
        <f t="shared" si="2"/>
        <v>0</v>
      </c>
      <c r="L20" s="21">
        <f t="shared" si="3"/>
        <v>0</v>
      </c>
    </row>
    <row r="21" spans="1:12">
      <c r="A21" s="3" t="s">
        <v>477</v>
      </c>
      <c r="B21" s="90" t="s">
        <v>500</v>
      </c>
      <c r="H21" s="90" t="str">
        <f>'Country equity risk premiums'!A160</f>
        <v>Central and South America</v>
      </c>
      <c r="I21" s="90">
        <v>0</v>
      </c>
      <c r="J21" s="21">
        <f>'Country equity risk premiums'!B160</f>
        <v>0.13339592274926432</v>
      </c>
      <c r="K21" s="21">
        <f t="shared" si="2"/>
        <v>0</v>
      </c>
      <c r="L21" s="21">
        <f t="shared" si="3"/>
        <v>0</v>
      </c>
    </row>
    <row r="22" spans="1:12">
      <c r="A22" s="3" t="s">
        <v>478</v>
      </c>
      <c r="B22" s="90">
        <v>1</v>
      </c>
      <c r="H22" s="90" t="str">
        <f>'Country equity risk premiums'!A161</f>
        <v>Eastern Europe &amp; Russia</v>
      </c>
      <c r="I22" s="90">
        <v>0</v>
      </c>
      <c r="J22" s="21">
        <f>'Country equity risk premiums'!B161</f>
        <v>0.10804901234606343</v>
      </c>
      <c r="K22" s="21">
        <f t="shared" si="2"/>
        <v>0</v>
      </c>
      <c r="L22" s="21">
        <f t="shared" si="3"/>
        <v>0</v>
      </c>
    </row>
    <row r="23" spans="1:12">
      <c r="A23" s="3" t="s">
        <v>439</v>
      </c>
      <c r="B23" s="28">
        <f>IF(B19="Direct Input",B20,IF(B19="Synthetic Rating",'Synthetic rating'!D13,B10+VLOOKUP('Cost of capital worksheet'!B21,'Synthetic rating'!G39:H53,2)))</f>
        <v>4.8799999999999996E-2</v>
      </c>
      <c r="H23" s="90" t="str">
        <f>'Country equity risk premiums'!A162</f>
        <v>Middle East</v>
      </c>
      <c r="I23" s="90">
        <v>0</v>
      </c>
      <c r="J23" s="21">
        <f>'Country equity risk premiums'!B162</f>
        <v>9.7670924961487146E-2</v>
      </c>
      <c r="K23" s="21">
        <f t="shared" si="2"/>
        <v>0</v>
      </c>
      <c r="L23" s="21">
        <f t="shared" si="3"/>
        <v>0</v>
      </c>
    </row>
    <row r="24" spans="1:12">
      <c r="A24" s="3" t="s">
        <v>479</v>
      </c>
      <c r="B24" s="49">
        <f>'Input Sheet'!B21</f>
        <v>0.25</v>
      </c>
      <c r="H24" s="90" t="str">
        <f>'Country equity risk premiums'!A163</f>
        <v>North America</v>
      </c>
      <c r="I24" s="90">
        <v>2323.4</v>
      </c>
      <c r="J24" s="21">
        <f>'Country equity risk premiums'!B163</f>
        <v>4.5999999999999999E-2</v>
      </c>
      <c r="K24" s="21">
        <f t="shared" si="2"/>
        <v>0.94821042321348403</v>
      </c>
      <c r="L24" s="21">
        <f t="shared" si="3"/>
        <v>4.3617679467820268E-2</v>
      </c>
    </row>
    <row r="25" spans="1:12">
      <c r="H25" s="90" t="str">
        <f>'Country equity risk premiums'!A164</f>
        <v>Western Europe</v>
      </c>
      <c r="I25" s="90">
        <v>0</v>
      </c>
      <c r="J25" s="21">
        <f>'Country equity risk premiums'!B164</f>
        <v>6.1568961313465245E-2</v>
      </c>
      <c r="K25" s="21">
        <f t="shared" si="2"/>
        <v>0</v>
      </c>
      <c r="L25" s="21">
        <f t="shared" si="3"/>
        <v>0</v>
      </c>
    </row>
    <row r="26" spans="1:12">
      <c r="A26" s="3" t="s">
        <v>480</v>
      </c>
      <c r="B26" s="73">
        <v>0</v>
      </c>
      <c r="H26" s="90" t="s">
        <v>606</v>
      </c>
      <c r="I26" s="90">
        <v>126.9</v>
      </c>
      <c r="J26" s="21">
        <f>'Country equity risk premiums'!B165</f>
        <v>0.10694174769514754</v>
      </c>
      <c r="K26" s="21">
        <f t="shared" si="2"/>
        <v>5.1789576786515933E-2</v>
      </c>
      <c r="L26" s="21">
        <f t="shared" si="3"/>
        <v>5.5384678539420569E-3</v>
      </c>
    </row>
    <row r="27" spans="1:12">
      <c r="A27" s="3" t="s">
        <v>481</v>
      </c>
      <c r="B27" s="73">
        <v>0</v>
      </c>
      <c r="H27" s="26" t="s">
        <v>505</v>
      </c>
      <c r="I27" s="47">
        <f>SUM(I17:I26)</f>
        <v>2450.3000000000002</v>
      </c>
      <c r="J27" s="27"/>
      <c r="K27" s="21">
        <f>I27/$I$27</f>
        <v>1</v>
      </c>
      <c r="L27" s="50">
        <f>SUM(L17:L26)</f>
        <v>4.9156147321762322E-2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0.96996021209180838</v>
      </c>
    </row>
    <row r="32" spans="1:12">
      <c r="H32" s="90" t="s">
        <v>238</v>
      </c>
      <c r="I32" s="90">
        <v>15317</v>
      </c>
      <c r="J32" s="47">
        <f>IF(H32=0,,VLOOKUP(H32,'Industry Averages(US)'!$A$2:$S$96,15))</f>
        <v>0.6094709713815003</v>
      </c>
      <c r="K32" s="47">
        <f t="shared" si="4"/>
        <v>9335.2668686504403</v>
      </c>
      <c r="L32" s="47">
        <f>IF(J32=0,0,VLOOKUP(H32,'Industry Averages(US)'!$A$2:$S$96,7))</f>
        <v>0.85946082828042358</v>
      </c>
    </row>
    <row r="33" spans="1:12">
      <c r="A33" s="3" t="s">
        <v>485</v>
      </c>
      <c r="H33" s="90" t="s">
        <v>239</v>
      </c>
      <c r="I33" s="90">
        <v>1023</v>
      </c>
      <c r="J33" s="47">
        <f>IF(H33=0,,VLOOKUP(H33,'Industry Averages(US)'!$A$2:$S$96,15))</f>
        <v>5.2888957340712599</v>
      </c>
      <c r="K33" s="47">
        <f t="shared" si="4"/>
        <v>5410.5403359548991</v>
      </c>
      <c r="L33" s="47">
        <f>IF(J33=0,0,VLOOKUP(H33,'Industry Averages(US)'!$A$2:$S$96,7))</f>
        <v>1.1376407770890611</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1443.1179311622266</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0.75424637661502192</v>
      </c>
      <c r="H43" s="26" t="s">
        <v>339</v>
      </c>
      <c r="I43" s="47">
        <f>SUM(I31:I42)</f>
        <v>201159</v>
      </c>
      <c r="J43" s="27"/>
      <c r="K43" s="47">
        <f>SUM(K31:K42)</f>
        <v>968608.80229393987</v>
      </c>
      <c r="L43" s="76">
        <f>L31*(K31/K43)+L32*K32/K43+L33*K33/K43+L34*K34/K43+L35*K35/K43+L36*K36/K43+L37*K37/K43+L38*K38/K43+L39*K39/K43+L40*K40/K43+L41*K41/K43+L42*K42/K43</f>
        <v>0.96983188497364359</v>
      </c>
    </row>
    <row r="45" spans="1:12">
      <c r="B45" s="3" t="s">
        <v>461</v>
      </c>
      <c r="C45" s="3" t="s">
        <v>501</v>
      </c>
      <c r="D45" s="3" t="s">
        <v>485</v>
      </c>
      <c r="E45" s="3" t="s">
        <v>502</v>
      </c>
      <c r="H45" s="3" t="s">
        <v>509</v>
      </c>
    </row>
    <row r="46" spans="1:12">
      <c r="A46" s="3" t="s">
        <v>494</v>
      </c>
      <c r="B46" s="47">
        <f>B4*B5</f>
        <v>17761.088800000001</v>
      </c>
      <c r="C46" s="47">
        <f>C39+C40+C41</f>
        <v>1443.1179311622266</v>
      </c>
      <c r="D46" s="47">
        <f>B34*B35</f>
        <v>0</v>
      </c>
      <c r="E46" s="47">
        <f>SUM(B46:D46)</f>
        <v>19204.206731162227</v>
      </c>
      <c r="H46" s="12" t="s">
        <v>508</v>
      </c>
      <c r="I46" s="13" t="s">
        <v>5</v>
      </c>
      <c r="J46" s="13" t="s">
        <v>511</v>
      </c>
      <c r="K46" s="13" t="s">
        <v>513</v>
      </c>
      <c r="L46" s="14" t="s">
        <v>515</v>
      </c>
    </row>
    <row r="47" spans="1:12">
      <c r="A47" s="3" t="s">
        <v>495</v>
      </c>
      <c r="B47" s="28">
        <f>B46/$E$46</f>
        <v>0.92485407226842065</v>
      </c>
      <c r="C47" s="28">
        <f>C46/$E$46</f>
        <v>7.5145927731579354E-2</v>
      </c>
      <c r="D47" s="28">
        <f>D46/$E$46</f>
        <v>0</v>
      </c>
      <c r="E47" s="28">
        <f>SUM(B47:D47)</f>
        <v>1</v>
      </c>
      <c r="H47" s="90" t="s">
        <v>225</v>
      </c>
      <c r="I47" s="90">
        <v>537.9</v>
      </c>
      <c r="J47" s="47">
        <f>IF(H47=0,,VLOOKUP(H47,'Global industry averages'!$A$2:$O$96,15))</f>
        <v>1.9374739155908258</v>
      </c>
      <c r="K47" s="47">
        <f t="shared" ref="K47:K58" si="5">I47*J47</f>
        <v>1042.1672191963053</v>
      </c>
      <c r="L47" s="47">
        <f>IF(H47=0,,VLOOKUP(H47,'Global industry averages'!$A$2:$O$96,7))</f>
        <v>1.1038380140290214</v>
      </c>
    </row>
    <row r="48" spans="1:12">
      <c r="A48" s="3" t="s">
        <v>496</v>
      </c>
      <c r="B48" s="28">
        <f>B10+C43*B13</f>
        <v>7.8475846005793437E-2</v>
      </c>
      <c r="C48" s="28">
        <f>B23*(1-B24)</f>
        <v>3.6599999999999994E-2</v>
      </c>
      <c r="D48" s="28">
        <f>B36/B35</f>
        <v>3.8095238095238099E-2</v>
      </c>
      <c r="E48" s="77">
        <f>B47*B48+C47*C48+D47*D48</f>
        <v>7.5329046708143332E-2</v>
      </c>
      <c r="H48" s="90" t="s">
        <v>291</v>
      </c>
      <c r="I48" s="90">
        <v>837.9</v>
      </c>
      <c r="J48" s="47">
        <f>IF(H48=0,,VLOOKUP(H48,'Global industry averages'!$A$2:$O$96,15))</f>
        <v>1.8774889614873247</v>
      </c>
      <c r="K48" s="47">
        <f t="shared" si="5"/>
        <v>1573.1480008302294</v>
      </c>
      <c r="L48" s="47">
        <f>IF(H48=0,,VLOOKUP(H48,'Global industry averages'!$A$2:$O$96,7))</f>
        <v>0.450628600024159</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1375.8</v>
      </c>
      <c r="J59" s="27"/>
      <c r="K59" s="47">
        <f>SUM(K47:K58)</f>
        <v>2615.3152200265349</v>
      </c>
      <c r="L59" s="76">
        <f>L47*(K47/K59)+L48*K48/K59+L49*K49/K59+L50*K50/K59+L51*K51/K59+L52*K52/K59+L53*K53/K59+L54*K54/K59+L55*K55/K59+L56*K56/K59+L57*K57/K59+L58*K58/K59</f>
        <v>0.71092358601035632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1062.0999999999999</v>
      </c>
      <c r="G5" s="74" t="s">
        <v>553</v>
      </c>
    </row>
    <row r="6" spans="1:7">
      <c r="A6" s="3" t="s">
        <v>521</v>
      </c>
      <c r="F6" s="47">
        <f>IF('Input Sheet'!B14="Yes",'Cost of capital worksheet'!B17+'Operating lease converter'!C28*'Operating lease converter'!C15,'Cost of capital worksheet'!B17)</f>
        <v>38.4</v>
      </c>
      <c r="G6" s="74" t="s">
        <v>554</v>
      </c>
    </row>
    <row r="7" spans="1:7">
      <c r="A7" s="3" t="s">
        <v>522</v>
      </c>
      <c r="F7" s="21">
        <f>'Input Sheet'!B27</f>
        <v>4.1399999999999999E-2</v>
      </c>
    </row>
    <row r="8" spans="1:7">
      <c r="A8" s="3" t="s">
        <v>421</v>
      </c>
    </row>
    <row r="9" spans="1:7">
      <c r="A9" s="3" t="s">
        <v>523</v>
      </c>
      <c r="D9" s="47">
        <f>IF(F6=0,1000000,IF(F5&lt;0,-100000,F5/F6))</f>
        <v>27.658854166666664</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4.8799999999999996E-2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2024-01-26T18:44:26Z</dcterms:modified>
</cp:coreProperties>
</file>