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Mark\Documents\1Work\1equity research - company folders\CHD\"/>
    </mc:Choice>
  </mc:AlternateContent>
  <xr:revisionPtr revIDLastSave="0" documentId="13_ncr:1_{7C4070E7-6FFE-49E7-9CF1-E9EBEA99056D}" xr6:coauthVersionLast="47" xr6:coauthVersionMax="47" xr10:uidLastSave="{00000000-0000-0000-0000-000000000000}"/>
  <bookViews>
    <workbookView xWindow="2880" yWindow="1470" windowWidth="22320" windowHeight="9075"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C9" i="1"/>
  <c r="B9"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B5" i="6"/>
  <c r="B7" i="6" s="1"/>
  <c r="B25" i="6"/>
  <c r="B39" i="6"/>
  <c r="C39" i="6" s="1"/>
  <c r="D39" i="6" s="1"/>
  <c r="E39" i="6" s="1"/>
  <c r="F39" i="6" s="1"/>
  <c r="G39" i="6" s="1"/>
  <c r="H39" i="6" s="1"/>
  <c r="I39" i="6" s="1"/>
  <c r="J39" i="6" s="1"/>
  <c r="K39" i="6" s="1"/>
  <c r="L39" i="6" s="1"/>
  <c r="B40" i="6" l="1"/>
  <c r="B4" i="6"/>
  <c r="D9" i="12"/>
  <c r="D11" i="12" l="1"/>
  <c r="D13" i="12" s="1"/>
  <c r="D10" i="12"/>
  <c r="C4" i="6"/>
  <c r="C5" i="6" s="1"/>
  <c r="I4" i="6"/>
  <c r="I5" i="6" s="1"/>
  <c r="F4" i="6"/>
  <c r="F5" i="6" s="1"/>
  <c r="L4" i="6"/>
  <c r="G4" i="6"/>
  <c r="G5" i="6" s="1"/>
  <c r="D4" i="6"/>
  <c r="D5" i="6" s="1"/>
  <c r="J4" i="6"/>
  <c r="J5" i="6" s="1"/>
  <c r="E4" i="6"/>
  <c r="E5" i="6" s="1"/>
  <c r="K4" i="6"/>
  <c r="K5" i="6" s="1"/>
  <c r="I23" i="1"/>
  <c r="H4" i="6"/>
  <c r="H5" i="6" s="1"/>
  <c r="C15" i="9" l="1"/>
  <c r="B23" i="10"/>
  <c r="C7" i="6"/>
  <c r="C10" i="6"/>
  <c r="D7" i="6" s="1"/>
  <c r="L5" i="6"/>
  <c r="I57" i="17" s="1"/>
  <c r="K58" i="17" s="1"/>
  <c r="K59" i="17" s="1"/>
  <c r="M4" i="6"/>
  <c r="M5" i="6" s="1"/>
  <c r="D10" i="6" l="1"/>
  <c r="E10" i="6" s="1"/>
  <c r="F10" i="6" s="1"/>
  <c r="C39" i="10"/>
  <c r="C48" i="10"/>
  <c r="C40" i="10"/>
  <c r="C42" i="10" s="1"/>
  <c r="D9" i="6"/>
  <c r="C30" i="17"/>
  <c r="C34" i="17" s="1"/>
  <c r="D40" i="6"/>
  <c r="C23" i="9"/>
  <c r="C26" i="9"/>
  <c r="C27" i="9"/>
  <c r="C24" i="9"/>
  <c r="C25" i="9"/>
  <c r="C22" i="9"/>
  <c r="N5" i="6"/>
  <c r="I31" i="1"/>
  <c r="M7" i="6"/>
  <c r="C40" i="6"/>
  <c r="B30" i="17"/>
  <c r="B34" i="17" s="1"/>
  <c r="C9" i="6"/>
  <c r="F7" i="6" l="1"/>
  <c r="F9" i="6" s="1"/>
  <c r="E7" i="6"/>
  <c r="D30" i="17" s="1"/>
  <c r="D34" i="17" s="1"/>
  <c r="C46" i="10"/>
  <c r="C28" i="9"/>
  <c r="G7" i="6"/>
  <c r="G10" i="6"/>
  <c r="F40" i="6" l="1"/>
  <c r="E30" i="17"/>
  <c r="E34" i="17" s="1"/>
  <c r="E40" i="6"/>
  <c r="E9" i="6"/>
  <c r="E46" i="10"/>
  <c r="C47" i="10" s="1"/>
  <c r="C43" i="10"/>
  <c r="B48" i="10" s="1"/>
  <c r="C47" i="17" s="1"/>
  <c r="C49" i="17" s="1"/>
  <c r="F30" i="17"/>
  <c r="F34" i="17" s="1"/>
  <c r="G9" i="6"/>
  <c r="G40" i="6"/>
  <c r="H7" i="6"/>
  <c r="H10" i="6"/>
  <c r="F31" i="9"/>
  <c r="F32" i="9" s="1"/>
  <c r="F33" i="9"/>
  <c r="F34" i="9"/>
  <c r="G30" i="17" l="1"/>
  <c r="G34" i="17" s="1"/>
  <c r="H40" i="6"/>
  <c r="H9" i="6"/>
  <c r="I7" i="6"/>
  <c r="I10" i="6"/>
  <c r="B47" i="10"/>
  <c r="D47" i="10"/>
  <c r="J7" i="6" l="1"/>
  <c r="J10" i="6"/>
  <c r="I40" i="6"/>
  <c r="H30" i="17"/>
  <c r="H34" i="17" s="1"/>
  <c r="I9" i="6"/>
  <c r="E48" i="10"/>
  <c r="B28" i="1" s="1"/>
  <c r="E47" i="10"/>
  <c r="K10" i="6" l="1"/>
  <c r="K7" i="6"/>
  <c r="C12" i="6"/>
  <c r="J42" i="1"/>
  <c r="L42" i="1"/>
  <c r="P42" i="1"/>
  <c r="J9" i="6"/>
  <c r="I30" i="17"/>
  <c r="I34" i="17" s="1"/>
  <c r="J40" i="6"/>
  <c r="D12" i="6" l="1"/>
  <c r="E12" i="6" s="1"/>
  <c r="F12" i="6" s="1"/>
  <c r="G12" i="6" s="1"/>
  <c r="H12" i="6" s="1"/>
  <c r="I12" i="6" s="1"/>
  <c r="J12" i="6" s="1"/>
  <c r="K12" i="6" s="1"/>
  <c r="L12" i="6" s="1"/>
  <c r="M40" i="6" s="1"/>
  <c r="M8" i="6" s="1"/>
  <c r="C13" i="6"/>
  <c r="L7" i="6"/>
  <c r="L10" i="6"/>
  <c r="M10" i="6" s="1"/>
  <c r="J30" i="17"/>
  <c r="J34" i="17" s="1"/>
  <c r="K40" i="6"/>
  <c r="K9" i="6"/>
  <c r="N8" i="6" l="1"/>
  <c r="M9" i="6"/>
  <c r="B16" i="6" s="1"/>
  <c r="B18" i="6" s="1"/>
  <c r="L40" i="6"/>
  <c r="I32" i="1" s="1"/>
  <c r="K30" i="17"/>
  <c r="K34" i="17" s="1"/>
  <c r="L9" i="6"/>
  <c r="L30" i="17"/>
  <c r="L34" i="17" s="1"/>
  <c r="D13" i="6"/>
  <c r="C14" i="6"/>
  <c r="E13" i="6" l="1"/>
  <c r="D14" i="6"/>
  <c r="F13" i="6" l="1"/>
  <c r="E14" i="6"/>
  <c r="G13" i="6" l="1"/>
  <c r="F14" i="6"/>
  <c r="H13" i="6" l="1"/>
  <c r="G14" i="6"/>
  <c r="I13" i="6" l="1"/>
  <c r="H14" i="6"/>
  <c r="J13" i="6" l="1"/>
  <c r="I14" i="6"/>
  <c r="K13" i="6" l="1"/>
  <c r="J14" i="6"/>
  <c r="L13" i="6" l="1"/>
  <c r="K14" i="6"/>
  <c r="B19" i="6" l="1"/>
  <c r="L14" i="6"/>
  <c r="B20" i="6" s="1"/>
  <c r="B21" i="6" l="1"/>
  <c r="B24" i="6" s="1"/>
  <c r="B29" i="6" s="1"/>
  <c r="B31" i="6" s="1"/>
  <c r="B33" i="6" s="1"/>
  <c r="B35" i="6" l="1"/>
  <c r="C46" i="17"/>
  <c r="D35" i="6"/>
  <c r="E35" i="6" s="1"/>
  <c r="C51" i="17" l="1"/>
  <c r="D51" i="17" s="1"/>
  <c r="E51" i="17" s="1"/>
  <c r="C52" i="17"/>
  <c r="D52" i="17" s="1"/>
  <c r="E52"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<sst xmlns="http://schemas.openxmlformats.org/spreadsheetml/2006/main" count="1486" uniqueCount="679">
  <si>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</si>
  <si>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</si>
  <si>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</si>
  <si>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</si>
  <si>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</si>
  <si>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</si>
  <si>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</si>
  <si>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</si>
  <si>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</si>
  <si>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</si>
  <si>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</si>
  <si>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</si>
  <si>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</si>
  <si>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</si>
  <si>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</si>
  <si>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</si>
  <si>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</si>
  <si>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</si>
  <si>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</si>
  <si>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</si>
  <si>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</si>
  <si>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</si>
  <si>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</si>
  <si>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</si>
  <si>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</si>
  <si>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</si>
  <si>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</si>
  <si>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</si>
  <si>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</si>
  <si>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</si>
  <si>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</si>
  <si>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</si>
  <si>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</si>
  <si>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</si>
  <si>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</si>
  <si>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</si>
  <si>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</si>
  <si>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</si>
  <si>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</si>
  <si>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</si>
  <si>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</si>
  <si>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</si>
  <si>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</si>
  <si>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</si>
  <si>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</si>
  <si>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</si>
  <si>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</si>
  <si>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</si>
  <si>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</si>
  <si>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</si>
  <si>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</si>
  <si>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</si>
  <si>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</si>
  <si>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</si>
  <si>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</si>
  <si>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</si>
  <si>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</si>
  <si>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</si>
  <si>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</si>
  <si>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</si>
  <si>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</si>
  <si>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</si>
  <si>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</si>
  <si>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</si>
  <si>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</si>
  <si>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</si>
  <si>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</si>
  <si>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</si>
  <si>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</si>
  <si>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</si>
  <si>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</si>
  <si>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</si>
  <si>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</si>
  <si>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</si>
  <si>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</si>
  <si>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</si>
  <si>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</si>
  <si>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</si>
  <si>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</si>
  <si>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</si>
  <si>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</si>
  <si>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</si>
  <si>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</si>
  <si>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</si>
  <si>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</si>
  <si>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</si>
  <si>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</si>
  <si>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</si>
  <si>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</si>
  <si>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</si>
  <si>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</si>
  <si>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</si>
  <si>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</si>
  <si>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</si>
  <si>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</si>
  <si>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</si>
  <si>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</si>
  <si>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</si>
  <si>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</si>
  <si>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</si>
  <si>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</si>
  <si>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</si>
  <si>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</si>
  <si>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</si>
  <si>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</si>
  <si>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</si>
  <si>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</si>
  <si>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</si>
  <si>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</si>
  <si>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</si>
  <si>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</si>
  <si>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</si>
  <si>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</si>
  <si>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</si>
  <si>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</si>
  <si>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</si>
  <si>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</si>
  <si>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</si>
  <si>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</si>
  <si>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</si>
  <si>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</si>
  <si>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</si>
  <si>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</si>
  <si>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</si>
  <si>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</si>
  <si>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</si>
  <si>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</si>
  <si>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</si>
  <si>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</si>
  <si>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</si>
  <si>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</si>
  <si>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</si>
  <si>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</si>
  <si>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</si>
  <si>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</si>
  <si>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</si>
  <si>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</si>
  <si>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</si>
  <si>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</si>
  <si>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</si>
  <si>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</si>
  <si>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</si>
  <si>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</si>
  <si>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</si>
  <si>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</si>
  <si>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</si>
  <si>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</si>
  <si>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</si>
  <si>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</si>
  <si>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</si>
  <si>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</si>
  <si>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</si>
  <si>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</si>
  <si>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</si>
  <si>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</si>
  <si>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</si>
  <si>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</si>
  <si>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</si>
  <si>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</si>
  <si>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</si>
  <si>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</si>
  <si>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</si>
  <si>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</si>
  <si>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</si>
  <si>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</si>
  <si>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</si>
  <si>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</si>
  <si>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</si>
  <si>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</si>
  <si>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</si>
  <si>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</si>
  <si>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</si>
  <si>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</si>
  <si>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</si>
  <si>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</si>
  <si>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</si>
  <si>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</si>
  <si>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</si>
  <si>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</si>
  <si>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</si>
  <si>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</si>
  <si>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</si>
  <si>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</si>
  <si>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</si>
  <si>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</si>
  <si>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</si>
  <si>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</si>
  <si>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</si>
  <si>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</si>
  <si>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</si>
  <si>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</si>
  <si>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</si>
  <si>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</si>
  <si>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</si>
  <si>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</si>
  <si>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</si>
  <si>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</si>
  <si>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</si>
  <si>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</si>
  <si>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</si>
  <si>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</si>
  <si>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</si>
  <si>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</si>
  <si>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</si>
  <si>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</si>
  <si>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</si>
  <si>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</si>
  <si>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</si>
  <si>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</si>
  <si>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</si>
  <si>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</si>
  <si>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</si>
  <si>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</si>
  <si>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</si>
  <si>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</si>
  <si>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</si>
  <si>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</si>
  <si>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</si>
  <si>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</si>
  <si>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</si>
  <si>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</si>
  <si>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</si>
  <si>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</si>
  <si>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</si>
  <si>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</si>
  <si>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</si>
  <si>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</si>
  <si>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</si>
  <si>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</si>
  <si>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</si>
  <si>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</si>
  <si>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</si>
  <si>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</si>
  <si>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</si>
  <si>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</si>
  <si>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</si>
  <si>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</si>
  <si>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</si>
  <si>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</si>
  <si>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</si>
  <si>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</si>
  <si>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</si>
  <si>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</si>
  <si>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</si>
  <si>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</si>
  <si>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</si>
  <si>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</si>
  <si>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</si>
  <si>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</si>
  <si>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</si>
  <si>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</si>
  <si>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</si>
  <si>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</si>
  <si>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</si>
  <si>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</si>
  <si>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</si>
  <si>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</si>
  <si>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</si>
  <si>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</si>
  <si>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</si>
  <si>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</si>
  <si>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</si>
  <si>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</si>
  <si>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</si>
  <si>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</si>
  <si>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</si>
  <si>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</si>
  <si>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</si>
  <si>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</si>
  <si>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</si>
  <si>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</si>
  <si>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</si>
  <si>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</si>
  <si>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</si>
  <si>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</si>
  <si>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</si>
  <si>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</si>
  <si>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</si>
  <si>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</si>
  <si>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</si>
  <si>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</si>
  <si>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</si>
  <si>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</si>
  <si>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</si>
  <si>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</si>
  <si>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</si>
  <si>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</si>
  <si>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</si>
  <si>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</si>
  <si>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</si>
  <si>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</si>
  <si>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</si>
  <si>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</si>
  <si>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</si>
  <si>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</si>
  <si>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</si>
  <si>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</si>
  <si>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</si>
  <si>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</si>
  <si>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</si>
  <si>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</si>
  <si>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</si>
  <si>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</si>
  <si>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</si>
  <si>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</si>
  <si>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</si>
  <si>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</si>
  <si>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</si>
  <si>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</si>
  <si>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</si>
  <si>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</si>
  <si>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</si>
  <si>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</si>
  <si>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</si>
  <si>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</si>
  <si>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</si>
  <si>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</si>
  <si>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</si>
  <si>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</si>
  <si>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</si>
  <si>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</si>
  <si>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</si>
  <si>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</si>
  <si>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</si>
  <si>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</si>
  <si>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</si>
  <si>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</si>
  <si>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</si>
  <si>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</si>
  <si>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</si>
  <si>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</si>
  <si>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</si>
  <si>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</si>
  <si>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</si>
  <si>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</si>
  <si>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</si>
  <si>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</si>
  <si>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</si>
  <si>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</si>
  <si>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</si>
  <si>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</si>
  <si>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</si>
  <si>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</si>
  <si>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</si>
  <si>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</si>
  <si>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</si>
  <si>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</si>
  <si>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</si>
  <si>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</si>
  <si>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</si>
  <si>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</si>
  <si>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</si>
  <si>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</si>
  <si>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</si>
  <si>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</si>
  <si>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</si>
  <si>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</si>
  <si>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</si>
  <si>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</si>
  <si>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</si>
  <si>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</si>
  <si>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</si>
  <si>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</si>
  <si>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</si>
  <si>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</si>
  <si>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</si>
  <si>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</si>
  <si>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</si>
  <si>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</si>
  <si>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</si>
  <si>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</si>
  <si>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</si>
  <si>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</si>
  <si>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</si>
  <si>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</si>
  <si>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</si>
  <si>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</si>
  <si>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</si>
  <si>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</si>
  <si>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</si>
  <si>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</si>
  <si>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</si>
  <si>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</si>
  <si>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</si>
  <si>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</si>
  <si>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</si>
  <si>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</si>
  <si>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</si>
  <si>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</si>
  <si>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</si>
  <si>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</si>
  <si>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</si>
  <si>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</si>
  <si>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</si>
  <si>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</si>
  <si>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</si>
  <si>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</si>
  <si>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</si>
  <si>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</si>
  <si>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</si>
  <si>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</si>
  <si>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</si>
  <si>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</si>
  <si>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</si>
  <si>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</si>
  <si>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</si>
  <si>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</si>
  <si>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</si>
  <si>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</si>
  <si>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</si>
  <si>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</si>
  <si>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</si>
  <si>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</si>
  <si>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</si>
  <si>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</si>
  <si>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</si>
  <si>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</si>
  <si>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</si>
  <si>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</si>
  <si>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</si>
  <si>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</si>
  <si>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</si>
  <si>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</si>
  <si>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</si>
  <si>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</si>
  <si>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</si>
  <si>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</si>
  <si>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</si>
  <si>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</si>
  <si>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</si>
  <si>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</si>
  <si>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</si>
  <si>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</si>
  <si>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</si>
  <si>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</si>
  <si>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</si>
  <si>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</si>
  <si>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</si>
  <si>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</si>
  <si>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</si>
  <si>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</si>
  <si>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</si>
  <si>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</si>
  <si>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</si>
  <si>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</si>
  <si>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</si>
  <si>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</si>
  <si>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</si>
  <si>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</si>
  <si>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</si>
  <si>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</si>
  <si>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</si>
  <si>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</si>
  <si>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</si>
  <si>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</si>
  <si>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</si>
  <si>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</si>
  <si>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</si>
  <si>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</si>
  <si>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</si>
  <si>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</si>
  <si>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</si>
  <si>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</si>
  <si>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</si>
  <si>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</si>
  <si>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</si>
  <si>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</si>
  <si>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</si>
  <si>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</si>
  <si>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</si>
  <si>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</si>
  <si>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</si>
  <si>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</si>
  <si>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</si>
  <si>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</si>
  <si>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</si>
  <si>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</si>
  <si>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</si>
  <si>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</si>
  <si>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</si>
  <si>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</si>
  <si>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</si>
  <si>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</si>
  <si>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</si>
  <si>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</si>
  <si>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</si>
  <si>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</si>
  <si>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</si>
  <si>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</si>
  <si>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</si>
  <si>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</si>
  <si>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</si>
  <si>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</si>
  <si>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</si>
  <si>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</si>
  <si>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</si>
  <si>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</si>
  <si>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</si>
  <si>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</si>
  <si>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</si>
  <si>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</si>
  <si>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</si>
  <si>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</si>
  <si>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</si>
  <si>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</si>
  <si>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</si>
  <si>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</si>
  <si>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</si>
  <si>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</si>
  <si>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</si>
  <si>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</si>
  <si>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</si>
  <si>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</si>
  <si>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</si>
  <si>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</si>
  <si>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</si>
  <si>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</si>
  <si>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</si>
  <si>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</si>
  <si>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</si>
  <si>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</si>
  <si>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</si>
  <si>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</si>
  <si>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</si>
  <si>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</si>
  <si>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</si>
  <si>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</si>
  <si>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</si>
  <si>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</si>
  <si>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</si>
  <si>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</si>
  <si>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</si>
  <si>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</si>
  <si>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</si>
  <si>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</si>
  <si>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</si>
  <si>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</si>
  <si>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</si>
  <si>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</si>
  <si>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</si>
  <si>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</si>
  <si>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</si>
  <si>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</si>
  <si>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</si>
  <si>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</si>
  <si>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</si>
  <si>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</si>
  <si>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</si>
  <si>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</si>
  <si>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</si>
  <si>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</si>
  <si>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</si>
  <si>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</si>
  <si>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</si>
  <si>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</si>
  <si>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</si>
  <si>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</si>
  <si>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</si>
  <si>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</si>
  <si>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</si>
  <si>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</si>
  <si>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</si>
  <si>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</si>
  <si>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</si>
  <si>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</si>
  <si>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</si>
  <si>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</si>
  <si>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</si>
  <si>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</si>
  <si>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</si>
  <si>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</si>
  <si>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</si>
  <si>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</si>
  <si>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</si>
  <si>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</si>
  <si>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</si>
  <si>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</si>
  <si>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</si>
  <si>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</si>
  <si>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</si>
  <si>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</si>
  <si>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</si>
  <si>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</si>
  <si>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</si>
  <si>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</si>
  <si>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</si>
  <si>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</si>
  <si>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</si>
  <si>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</si>
  <si>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</si>
  <si>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</si>
  <si>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</si>
  <si>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</si>
  <si>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</si>
  <si>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</si>
  <si>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</si>
  <si>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</si>
  <si>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</si>
  <si>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</si>
  <si>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</si>
  <si>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</si>
  <si>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</si>
  <si>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</si>
  <si>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</si>
  <si>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</si>
  <si>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</si>
  <si>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</si>
  <si>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</si>
  <si>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</si>
  <si>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</si>
  <si>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</si>
  <si>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</si>
  <si>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</si>
  <si>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</si>
  <si>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</si>
  <si>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</si>
  <si>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</si>
  <si>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</si>
  <si>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</si>
  <si>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</si>
  <si>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</si>
  <si>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</si>
  <si>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</si>
  <si>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</si>
  <si>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</si>
  <si>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</si>
  <si>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</si>
  <si>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</si>
  <si>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</si>
  <si>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</si>
  <si>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</si>
  <si>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</si>
  <si>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</si>
  <si>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</si>
  <si>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</si>
  <si>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</si>
  <si>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</si>
  <si>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</si>
  <si>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</si>
  <si>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</si>
  <si>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</si>
  <si>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</si>
  <si>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</si>
  <si>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</si>
  <si>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</si>
  <si>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</si>
  <si>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</si>
  <si>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</si>
  <si>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</si>
  <si>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</si>
  <si>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</si>
  <si>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</si>
  <si>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</si>
  <si>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</si>
  <si>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</si>
  <si>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</si>
  <si>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</si>
  <si>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</si>
  <si>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</si>
  <si>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</si>
  <si>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</si>
  <si>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</si>
  <si>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</si>
  <si>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</si>
  <si>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</si>
  <si>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</si>
  <si>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</si>
  <si>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</si>
  <si>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</si>
  <si>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</si>
  <si>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</si>
  <si>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</si>
  <si>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</si>
  <si>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</si>
  <si>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</si>
  <si>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</si>
  <si>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</si>
  <si>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</si>
  <si>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Church &amp; Dwight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</si>
</sst>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602559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375041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552450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523875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workbookViewId="0">
      <selection activeCell="C26" sqref="C26"/>
    </sheetView>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45274</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243</v>
      </c>
    </row>
    <row r="7" spans="1:10">
      <c r="A7" t="s">
        <v>4</v>
      </c>
      <c r="B7" s="34" t="s">
        <v>243</v>
      </c>
      <c r="D7" t="s">
        <v>293</v>
      </c>
    </row>
    <row r="8" spans="1:10">
      <c r="A8" t="s">
        <v>5</v>
      </c>
      <c r="B8" s="35">
        <v>5775.9</v>
      </c>
      <c r="C8" s="35">
        <v>5375.6</v>
      </c>
      <c r="D8" s="36">
        <v>0.75</v>
      </c>
    </row>
    <row r="9" spans="1:10">
      <c r="A9" t="s">
        <v>6</v>
      </c>
      <c r="B9" s="35">
        <f>642.9+127.6</f>
        <v>770.5</v>
      </c>
      <c r="C9" s="35">
        <f>597.8+122.4</f>
        <v>720.19999999999993</v>
      </c>
      <c r="D9" s="36">
        <v>0.75</v>
      </c>
    </row>
    <row r="10" spans="1:10">
      <c r="A10" t="s">
        <v>7</v>
      </c>
      <c r="B10" s="35">
        <v>113.9</v>
      </c>
      <c r="C10" s="35">
        <v>89.6</v>
      </c>
    </row>
    <row r="11" spans="1:10">
      <c r="A11" t="s">
        <v>8</v>
      </c>
      <c r="B11" s="35">
        <v>4050.5</v>
      </c>
      <c r="C11" s="35">
        <v>3489.9</v>
      </c>
    </row>
    <row r="12" spans="1:10">
      <c r="A12" t="s">
        <v>9</v>
      </c>
      <c r="B12" s="35">
        <f>3.8+2401.5+165</f>
        <v>2570.3000000000002</v>
      </c>
      <c r="C12" s="35">
        <f>74+2599.5+173.8</f>
        <v>2847.3</v>
      </c>
    </row>
    <row r="13" spans="1:10">
      <c r="A13" t="s">
        <v>10</v>
      </c>
      <c r="B13" s="36" t="s">
        <v>294</v>
      </c>
      <c r="C13" s="4" t="s">
        <v>296</v>
      </c>
    </row>
    <row r="14" spans="1:10">
      <c r="A14" t="s">
        <v>11</v>
      </c>
      <c r="B14" s="36" t="s">
        <v>295</v>
      </c>
      <c r="C14" s="4" t="s">
        <v>297</v>
      </c>
    </row>
    <row r="15" spans="1:10">
      <c r="A15" t="s">
        <v>12</v>
      </c>
      <c r="B15" s="35">
        <v>573.29999999999995</v>
      </c>
      <c r="C15" s="35">
        <v>270.3</v>
      </c>
      <c r="F15" t="s">
        <v>669</v>
      </c>
    </row>
    <row r="16" spans="1:10">
      <c r="A16" t="s">
        <v>13</v>
      </c>
      <c r="B16" s="35">
        <v>13.6</v>
      </c>
      <c r="C16" s="35">
        <v>12.7</v>
      </c>
      <c r="F16" s="101">
        <v>0</v>
      </c>
    </row>
    <row r="17" spans="1:11">
      <c r="A17" t="s">
        <v>14</v>
      </c>
      <c r="B17" s="35">
        <v>0</v>
      </c>
      <c r="C17" s="35">
        <v>0</v>
      </c>
    </row>
    <row r="18" spans="1:11">
      <c r="A18" t="s">
        <v>15</v>
      </c>
      <c r="B18" s="37">
        <v>246.38</v>
      </c>
    </row>
    <row r="19" spans="1:11">
      <c r="A19" t="s">
        <v>16</v>
      </c>
      <c r="B19" s="35">
        <v>93.5</v>
      </c>
      <c r="E19" s="7" t="s">
        <v>331</v>
      </c>
      <c r="F19" s="8"/>
      <c r="G19" s="8"/>
      <c r="H19" s="8"/>
      <c r="I19" s="8"/>
      <c r="J19" s="8"/>
      <c r="K19" s="9"/>
    </row>
    <row r="20" spans="1:11">
      <c r="A20" t="s">
        <v>17</v>
      </c>
      <c r="B20" s="40">
        <f>170.3/772.2</f>
        <v>0.22053872053872053</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0.10050062543957439</v>
      </c>
      <c r="J22" s="46">
        <f>VLOOKUP(B6,'Industry Averages(US)'!A2:S96,3)</f>
        <v>0.11551042553191491</v>
      </c>
      <c r="K22" s="46">
        <f>VLOOKUP(B7,'Global industry averages'!A2:N96,3)</f>
        <v>6.8795195530726189E-2</v>
      </c>
    </row>
    <row r="23" spans="1:11">
      <c r="A23" t="s">
        <v>20</v>
      </c>
      <c r="B23" s="90">
        <v>0.06</v>
      </c>
      <c r="C23" s="40">
        <v>0.05</v>
      </c>
      <c r="D23" s="4" t="s">
        <v>298</v>
      </c>
      <c r="E23" s="5" t="s">
        <v>334</v>
      </c>
      <c r="I23" s="46">
        <f>'Valuation Output'!B4</f>
        <v>0.13490538271091954</v>
      </c>
      <c r="J23" s="46">
        <f>VLOOKUP(B6,'Industry Averages(US)'!A2:S96,4)</f>
        <v>0.17863449867047343</v>
      </c>
      <c r="K23" s="46">
        <f>VLOOKUP(B7,'Global industry averages'!A2:N96,4)</f>
        <v>0.15385562737699945</v>
      </c>
    </row>
    <row r="24" spans="1:11">
      <c r="A24" t="s">
        <v>21</v>
      </c>
      <c r="B24" s="40">
        <v>0.18</v>
      </c>
      <c r="D24" s="4" t="s">
        <v>299</v>
      </c>
      <c r="E24" s="5" t="s">
        <v>335</v>
      </c>
      <c r="I24" s="48">
        <f>B8/(B11+B12-B15)</f>
        <v>0.95508887970235623</v>
      </c>
      <c r="J24" s="48">
        <f>VLOOKUP(B6,'Industry Averages(US)'!A2:S97,14)</f>
        <v>2.1854467010901835</v>
      </c>
      <c r="K24" s="48">
        <f>VLOOKUP(B7,'Global industry averages'!A2:N96,14)</f>
        <v>1.748546760596642</v>
      </c>
    </row>
    <row r="25" spans="1:11">
      <c r="A25" t="s">
        <v>22</v>
      </c>
      <c r="B25" s="39">
        <v>2</v>
      </c>
      <c r="C25" s="93">
        <v>2.5</v>
      </c>
      <c r="D25" s="4" t="s">
        <v>300</v>
      </c>
      <c r="E25" s="5" t="s">
        <v>336</v>
      </c>
      <c r="I25" s="46">
        <f>B9*(1-B20)/(C11+C12-C15-C16+C17)</f>
        <v>9.9199715210088163E-2</v>
      </c>
      <c r="J25" s="46">
        <f>VLOOKUP(B6,'Industry Averages(US)'!A2:S97,5)</f>
        <v>0.34916245427993664</v>
      </c>
      <c r="K25" s="46">
        <f>VLOOKUP(B7,'Global industry averages'!A2:N96,5)</f>
        <v>0.22892705098975522</v>
      </c>
    </row>
    <row r="26" spans="1:11">
      <c r="A26" s="1" t="s">
        <v>23</v>
      </c>
      <c r="E26" s="5" t="s">
        <v>337</v>
      </c>
      <c r="I26" s="5"/>
      <c r="J26" s="46">
        <f>VLOOKUP(B6,'Industry Averages(US)'!A2:S97,10)</f>
        <v>0.56827524943110697</v>
      </c>
      <c r="K26" s="46">
        <f>VLOOKUP(B6,'Global industry averages'!A2:Z96,10)</f>
        <v>0.37891980080211041</v>
      </c>
    </row>
    <row r="27" spans="1:11">
      <c r="A27" t="s">
        <v>24</v>
      </c>
      <c r="B27" s="40">
        <v>3.9E-2</v>
      </c>
      <c r="E27" s="6" t="s">
        <v>338</v>
      </c>
      <c r="F27" s="11"/>
      <c r="G27" s="11"/>
      <c r="H27" s="11"/>
      <c r="I27" s="6"/>
      <c r="J27" s="46">
        <f>VLOOKUP(B6,'Industry Averages(US)'!A2:S96,13)</f>
        <v>9.889993040768906E-2</v>
      </c>
      <c r="K27" s="46">
        <f>VLOOKUP(B6,'Global industry averages'!A2:Z96,13)</f>
        <v>0.11214436749935422</v>
      </c>
    </row>
    <row r="28" spans="1:11">
      <c r="A28" t="s">
        <v>25</v>
      </c>
      <c r="B28" s="59">
        <f>'Cost of capital worksheet'!E48</f>
        <v>8.9801988940447941E-2</v>
      </c>
      <c r="C28" s="4" t="s">
        <v>301</v>
      </c>
    </row>
    <row r="29" spans="1:11">
      <c r="A29" s="1" t="s">
        <v>26</v>
      </c>
      <c r="D29" s="7" t="s">
        <v>342</v>
      </c>
      <c r="E29" s="8"/>
      <c r="F29" s="8"/>
      <c r="G29" s="8"/>
      <c r="H29" s="8"/>
      <c r="I29" s="9"/>
    </row>
    <row r="30" spans="1:11">
      <c r="A30" t="s">
        <v>27</v>
      </c>
      <c r="B30" s="36" t="s">
        <v>295</v>
      </c>
      <c r="D30" s="5" t="s">
        <v>343</v>
      </c>
      <c r="I30" s="45">
        <f>'Valuation Output'!M3</f>
        <v>9652.9342691772854</v>
      </c>
    </row>
    <row r="31" spans="1:11">
      <c r="A31" t="s">
        <v>28</v>
      </c>
      <c r="B31" s="39">
        <v>3.6</v>
      </c>
      <c r="D31" s="5" t="s">
        <v>344</v>
      </c>
      <c r="I31" s="60">
        <f>'Valuation Output'!M5</f>
        <v>1737.5281684519114</v>
      </c>
    </row>
    <row r="32" spans="1:11">
      <c r="A32" t="s">
        <v>29</v>
      </c>
      <c r="B32" s="43">
        <v>82.6</v>
      </c>
      <c r="D32" s="5" t="s">
        <v>345</v>
      </c>
      <c r="I32" s="59">
        <f>'Valuation Output'!L40</f>
        <v>0.16297032617854598</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295</v>
      </c>
      <c r="C38" s="4" t="s">
        <v>321</v>
      </c>
      <c r="J38" s="71" t="s">
        <v>610</v>
      </c>
      <c r="K38" s="72" t="s">
        <v>611</v>
      </c>
    </row>
    <row r="39" spans="1:18">
      <c r="A39" t="s">
        <v>305</v>
      </c>
      <c r="B39" s="40">
        <v>6.6799999999999998E-2</v>
      </c>
      <c r="C39" s="4" t="s">
        <v>322</v>
      </c>
      <c r="J39" s="73">
        <f>B27+6%</f>
        <v>9.9000000000000005E-2</v>
      </c>
      <c r="K39" s="74">
        <f>B27+4%</f>
        <v>7.9000000000000001E-2</v>
      </c>
    </row>
    <row r="40" spans="1:18">
      <c r="A40" t="s">
        <v>306</v>
      </c>
      <c r="P40" s="122" t="s">
        <v>617</v>
      </c>
      <c r="Q40" s="123"/>
      <c r="R40" s="124"/>
    </row>
    <row r="41" spans="1:18">
      <c r="A41" t="s">
        <v>304</v>
      </c>
      <c r="B41" s="36" t="s">
        <v>295</v>
      </c>
      <c r="C41" s="4" t="s">
        <v>323</v>
      </c>
      <c r="J41" s="128" t="s">
        <v>612</v>
      </c>
      <c r="K41" s="129"/>
      <c r="L41" s="129" t="s">
        <v>613</v>
      </c>
      <c r="M41" s="129"/>
      <c r="N41" s="130"/>
      <c r="P41" s="6" t="s">
        <v>614</v>
      </c>
      <c r="Q41" s="11" t="s">
        <v>615</v>
      </c>
      <c r="R41" s="12" t="s">
        <v>616</v>
      </c>
    </row>
    <row r="42" spans="1:18">
      <c r="A42" t="s">
        <v>307</v>
      </c>
      <c r="B42" s="40">
        <v>8.8999999999999996E-2</v>
      </c>
      <c r="C42" s="4" t="s">
        <v>324</v>
      </c>
      <c r="J42" s="131">
        <f>B28+5%</f>
        <v>0.13980198894044793</v>
      </c>
      <c r="K42" s="132"/>
      <c r="L42" s="132">
        <f>B28+2.5%</f>
        <v>0.11480198894044794</v>
      </c>
      <c r="M42" s="132"/>
      <c r="N42" s="133"/>
      <c r="O42" t="s">
        <v>626</v>
      </c>
      <c r="P42" s="75">
        <f>B28+5%</f>
        <v>0.13980198894044793</v>
      </c>
      <c r="Q42" s="76">
        <f>J39+5%</f>
        <v>0.14900000000000002</v>
      </c>
      <c r="R42" s="77">
        <f>K39+5%</f>
        <v>0.129</v>
      </c>
    </row>
    <row r="43" spans="1:18">
      <c r="A43" t="s">
        <v>308</v>
      </c>
      <c r="J43" s="125">
        <f>'Valuation Output'!M12+5%</f>
        <v>0.13400000000000001</v>
      </c>
      <c r="K43" s="126"/>
      <c r="L43" s="126">
        <f>'Valuation Output'!M12+2.5%</f>
        <v>0.10899999999999999</v>
      </c>
      <c r="M43" s="126"/>
      <c r="N43" s="127"/>
      <c r="O43" t="s">
        <v>627</v>
      </c>
      <c r="P43" s="85">
        <f>'Valuation Output'!M12+5%</f>
        <v>0.13400000000000001</v>
      </c>
      <c r="Q43" s="86">
        <f>J39+5%</f>
        <v>0.14900000000000002</v>
      </c>
      <c r="R43" s="87">
        <f>K39+5%</f>
        <v>0.129</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28"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5.3820043164007209E-2</v>
      </c>
      <c r="E2" s="3">
        <v>8.5200431640072103E-3</v>
      </c>
      <c r="F2" s="3">
        <v>0.15</v>
      </c>
      <c r="G2" t="s">
        <v>38</v>
      </c>
      <c r="K2" s="118"/>
    </row>
    <row r="3" spans="1:11">
      <c r="A3" t="s">
        <v>39</v>
      </c>
      <c r="B3">
        <v>13.04</v>
      </c>
      <c r="C3" s="3">
        <v>5.5078211009174309E-2</v>
      </c>
      <c r="D3" s="3">
        <f>$D$148+E3</f>
        <v>0.12299467932892288</v>
      </c>
      <c r="E3" s="3">
        <v>7.7694679328922892E-2</v>
      </c>
      <c r="F3" s="3">
        <v>0.15</v>
      </c>
      <c r="G3" t="s">
        <v>40</v>
      </c>
      <c r="K3" s="118"/>
    </row>
    <row r="4" spans="1:11">
      <c r="A4" t="s">
        <v>590</v>
      </c>
      <c r="B4">
        <v>3.01</v>
      </c>
      <c r="C4" s="3">
        <v>2.3296788990825688E-2</v>
      </c>
      <c r="D4" s="3">
        <f t="shared" ref="D4:D67" si="0">$D$148+E4</f>
        <v>7.8163023632599235E-2</v>
      </c>
      <c r="E4" s="3">
        <v>3.2863023632599235E-2</v>
      </c>
      <c r="F4" s="3">
        <v>0.1</v>
      </c>
      <c r="G4" t="s">
        <v>42</v>
      </c>
      <c r="K4" s="118"/>
    </row>
    <row r="5" spans="1:11">
      <c r="A5" t="s">
        <v>43</v>
      </c>
      <c r="B5">
        <v>124.21</v>
      </c>
      <c r="C5" s="3">
        <v>7.9525458715596339E-2</v>
      </c>
      <c r="D5" s="3">
        <f t="shared" si="0"/>
        <v>0.15748056832609494</v>
      </c>
      <c r="E5" s="3">
        <v>0.11218056832609494</v>
      </c>
      <c r="F5" s="3">
        <v>0.25</v>
      </c>
      <c r="G5" t="s">
        <v>44</v>
      </c>
      <c r="K5" s="118"/>
    </row>
    <row r="6" spans="1:11">
      <c r="A6" t="s">
        <v>45</v>
      </c>
      <c r="B6">
        <v>637.59</v>
      </c>
      <c r="C6" s="3">
        <v>0.14682729357798166</v>
      </c>
      <c r="D6" s="3">
        <f t="shared" si="0"/>
        <v>0.25241819215360384</v>
      </c>
      <c r="E6" s="3">
        <v>0.20711819215360386</v>
      </c>
      <c r="F6" s="3">
        <v>0.35</v>
      </c>
      <c r="G6" t="s">
        <v>46</v>
      </c>
      <c r="K6" s="118"/>
    </row>
    <row r="7" spans="1:11">
      <c r="A7" t="s">
        <v>47</v>
      </c>
      <c r="B7">
        <v>11.54</v>
      </c>
      <c r="C7" s="3">
        <v>4.4005045871559637E-2</v>
      </c>
      <c r="D7" s="3">
        <f t="shared" si="0"/>
        <v>0.10737460019490969</v>
      </c>
      <c r="E7" s="3">
        <v>6.2074600194909679E-2</v>
      </c>
      <c r="F7" s="3">
        <v>0.18</v>
      </c>
      <c r="G7" t="s">
        <v>40</v>
      </c>
      <c r="K7" s="118"/>
    </row>
    <row r="8" spans="1:11">
      <c r="A8" t="s">
        <v>48</v>
      </c>
      <c r="B8">
        <v>3</v>
      </c>
      <c r="C8" s="3">
        <v>2.3296788990825688E-2</v>
      </c>
      <c r="D8" s="3">
        <f t="shared" si="0"/>
        <v>7.8163023632599235E-2</v>
      </c>
      <c r="E8" s="3">
        <v>3.2863023632599235E-2</v>
      </c>
      <c r="F8" s="3">
        <v>0.25</v>
      </c>
      <c r="G8" t="s">
        <v>49</v>
      </c>
      <c r="K8" s="118"/>
    </row>
    <row r="9" spans="1:11">
      <c r="A9" t="s">
        <v>50</v>
      </c>
      <c r="B9">
        <v>1323.42</v>
      </c>
      <c r="C9" s="3">
        <v>0</v>
      </c>
      <c r="D9" s="3">
        <f t="shared" si="0"/>
        <v>4.53E-2</v>
      </c>
      <c r="E9" s="3">
        <v>0</v>
      </c>
      <c r="F9" s="3">
        <v>0.3</v>
      </c>
      <c r="G9" t="s">
        <v>51</v>
      </c>
      <c r="K9" s="118"/>
    </row>
    <row r="10" spans="1:11">
      <c r="A10" t="s">
        <v>52</v>
      </c>
      <c r="B10">
        <v>416.6</v>
      </c>
      <c r="C10" s="3">
        <v>4.8894495412844033E-3</v>
      </c>
      <c r="D10" s="3">
        <f t="shared" si="0"/>
        <v>5.2197177799434405E-2</v>
      </c>
      <c r="E10" s="3">
        <v>6.8971777994344076E-3</v>
      </c>
      <c r="F10" s="3">
        <v>0.24</v>
      </c>
      <c r="G10" t="s">
        <v>42</v>
      </c>
      <c r="K10" s="118"/>
    </row>
    <row r="11" spans="1:11">
      <c r="A11" t="s">
        <v>53</v>
      </c>
      <c r="B11">
        <v>40.75</v>
      </c>
      <c r="C11" s="3">
        <v>3.0630963302752296E-2</v>
      </c>
      <c r="D11" s="3">
        <f t="shared" si="0"/>
        <v>8.8508790331750853E-2</v>
      </c>
      <c r="E11" s="3">
        <v>4.3208790331750853E-2</v>
      </c>
      <c r="F11" s="3">
        <v>0.2</v>
      </c>
      <c r="G11" t="s">
        <v>40</v>
      </c>
      <c r="K11" s="118"/>
    </row>
    <row r="12" spans="1:11">
      <c r="A12" t="s">
        <v>54</v>
      </c>
      <c r="B12">
        <v>12.16</v>
      </c>
      <c r="C12" s="3">
        <v>5.5078211009174309E-2</v>
      </c>
      <c r="D12" s="3">
        <f t="shared" si="0"/>
        <v>0.12299467932892288</v>
      </c>
      <c r="E12" s="3">
        <v>7.7694679328922892E-2</v>
      </c>
      <c r="F12" s="3">
        <v>0</v>
      </c>
      <c r="G12" t="s">
        <v>49</v>
      </c>
      <c r="K12" s="118"/>
    </row>
    <row r="13" spans="1:11">
      <c r="A13" t="s">
        <v>55</v>
      </c>
      <c r="B13">
        <v>35.31</v>
      </c>
      <c r="C13" s="3">
        <v>6.7301834862385335E-2</v>
      </c>
      <c r="D13" s="3">
        <f t="shared" si="0"/>
        <v>0.14023762382750893</v>
      </c>
      <c r="E13" s="3">
        <v>9.4937623827508935E-2</v>
      </c>
      <c r="F13" s="3">
        <v>0</v>
      </c>
      <c r="G13" t="s">
        <v>38</v>
      </c>
      <c r="K13" s="118"/>
    </row>
    <row r="14" spans="1:11">
      <c r="A14" t="s">
        <v>56</v>
      </c>
      <c r="B14">
        <v>249.72</v>
      </c>
      <c r="C14" s="3">
        <v>4.4005045871559637E-2</v>
      </c>
      <c r="D14" s="3">
        <f t="shared" si="0"/>
        <v>0.10737460019490969</v>
      </c>
      <c r="E14" s="3">
        <v>6.2074600194909679E-2</v>
      </c>
      <c r="F14" s="3">
        <v>0.32500000000000001</v>
      </c>
      <c r="G14" t="s">
        <v>57</v>
      </c>
      <c r="K14" s="118"/>
    </row>
    <row r="15" spans="1:11">
      <c r="A15" t="s">
        <v>58</v>
      </c>
      <c r="B15">
        <v>4.8</v>
      </c>
      <c r="C15" s="3">
        <v>9.1749082568807344E-2</v>
      </c>
      <c r="D15" s="3">
        <f t="shared" si="0"/>
        <v>0.17472351282468096</v>
      </c>
      <c r="E15" s="3">
        <v>0.12942351282468095</v>
      </c>
      <c r="F15" s="3">
        <v>5.5E-2</v>
      </c>
      <c r="G15" t="s">
        <v>49</v>
      </c>
      <c r="K15" s="118"/>
    </row>
    <row r="16" spans="1:11">
      <c r="A16" t="s">
        <v>59</v>
      </c>
      <c r="B16">
        <v>54.44</v>
      </c>
      <c r="C16" s="3">
        <v>0.14682729357798166</v>
      </c>
      <c r="D16" s="3">
        <f t="shared" si="0"/>
        <v>0.25241819215360384</v>
      </c>
      <c r="E16" s="3">
        <v>0.20711819215360386</v>
      </c>
      <c r="F16" s="3">
        <v>0.18</v>
      </c>
      <c r="G16" t="s">
        <v>40</v>
      </c>
      <c r="K16" s="118"/>
    </row>
    <row r="17" spans="1:11">
      <c r="A17" t="s">
        <v>60</v>
      </c>
      <c r="B17">
        <v>492.68</v>
      </c>
      <c r="C17" s="3">
        <v>7.3341743119266058E-3</v>
      </c>
      <c r="D17" s="3">
        <f t="shared" si="0"/>
        <v>5.5645766699151611E-2</v>
      </c>
      <c r="E17" s="3">
        <v>1.0345766699151613E-2</v>
      </c>
      <c r="F17" s="3">
        <v>0.25</v>
      </c>
      <c r="G17" t="s">
        <v>42</v>
      </c>
      <c r="K17" s="118"/>
    </row>
    <row r="18" spans="1:11">
      <c r="A18" t="s">
        <v>61</v>
      </c>
      <c r="B18">
        <v>1.84</v>
      </c>
      <c r="C18" s="3">
        <v>0.11015642201834862</v>
      </c>
      <c r="D18" s="3">
        <f t="shared" si="0"/>
        <v>0.20068935865784579</v>
      </c>
      <c r="E18" s="3">
        <v>0.15538935865784578</v>
      </c>
      <c r="F18" s="3"/>
      <c r="G18" t="s">
        <v>46</v>
      </c>
      <c r="K18" s="118"/>
    </row>
    <row r="19" spans="1:11">
      <c r="A19" t="s">
        <v>63</v>
      </c>
      <c r="B19">
        <v>6.2</v>
      </c>
      <c r="C19" s="3">
        <v>1.0354128440366973E-2</v>
      </c>
      <c r="D19" s="3">
        <f t="shared" si="0"/>
        <v>5.9905788281155219E-2</v>
      </c>
      <c r="E19" s="3">
        <v>1.4605788281155217E-2</v>
      </c>
      <c r="F19" s="3">
        <v>0</v>
      </c>
      <c r="G19" t="s">
        <v>49</v>
      </c>
      <c r="K19" s="118"/>
    </row>
    <row r="20" spans="1:11">
      <c r="A20" t="s">
        <v>64</v>
      </c>
      <c r="B20">
        <v>37.51</v>
      </c>
      <c r="C20" s="3">
        <v>6.7301834862385335E-2</v>
      </c>
      <c r="D20" s="3">
        <f t="shared" si="0"/>
        <v>0.14023762382750893</v>
      </c>
      <c r="E20" s="3">
        <v>9.4937623827508935E-2</v>
      </c>
      <c r="F20" s="3">
        <v>0.25</v>
      </c>
      <c r="G20" t="s">
        <v>46</v>
      </c>
      <c r="K20" s="118"/>
    </row>
    <row r="21" spans="1:11">
      <c r="A21" t="s">
        <v>65</v>
      </c>
      <c r="B21">
        <v>18.170000000000002</v>
      </c>
      <c r="C21" s="3">
        <v>7.9525458715596339E-2</v>
      </c>
      <c r="D21" s="3">
        <f t="shared" si="0"/>
        <v>0.15748056832609494</v>
      </c>
      <c r="E21" s="3">
        <v>0.11218056832609494</v>
      </c>
      <c r="F21" s="3">
        <v>0.1</v>
      </c>
      <c r="G21" t="s">
        <v>40</v>
      </c>
      <c r="K21" s="118"/>
    </row>
    <row r="22" spans="1:11">
      <c r="A22" t="s">
        <v>66</v>
      </c>
      <c r="B22">
        <v>17.406530780715503</v>
      </c>
      <c r="C22" s="3">
        <v>1.4668348623853212E-2</v>
      </c>
      <c r="D22" s="3">
        <f t="shared" si="0"/>
        <v>6.5991533398303229E-2</v>
      </c>
      <c r="E22" s="3">
        <v>2.0691533398303225E-2</v>
      </c>
      <c r="F22" s="3">
        <v>0.22</v>
      </c>
      <c r="G22" t="s">
        <v>44</v>
      </c>
      <c r="K22" s="118"/>
    </row>
    <row r="23" spans="1:11">
      <c r="A23" t="s">
        <v>67</v>
      </c>
      <c r="B23">
        <v>2055.5055022247288</v>
      </c>
      <c r="C23" s="3">
        <v>3.6814678899082569E-2</v>
      </c>
      <c r="D23" s="3">
        <f t="shared" si="0"/>
        <v>9.7231691666329667E-2</v>
      </c>
      <c r="E23" s="3">
        <v>5.193169166632966E-2</v>
      </c>
      <c r="F23" s="3">
        <v>0.34</v>
      </c>
      <c r="G23" t="s">
        <v>46</v>
      </c>
      <c r="K23" s="118"/>
    </row>
    <row r="24" spans="1:11">
      <c r="A24" t="s">
        <v>68</v>
      </c>
      <c r="B24">
        <v>56.831518294439654</v>
      </c>
      <c r="C24" s="3">
        <v>1.9557798165137613E-2</v>
      </c>
      <c r="D24" s="3">
        <f t="shared" si="0"/>
        <v>7.2888711197737627E-2</v>
      </c>
      <c r="E24" s="3">
        <v>2.758871119773763E-2</v>
      </c>
      <c r="F24" s="3">
        <v>0.1</v>
      </c>
      <c r="G24" t="s">
        <v>40</v>
      </c>
      <c r="K24" s="118"/>
    </row>
    <row r="25" spans="1:11">
      <c r="A25" t="s">
        <v>69</v>
      </c>
      <c r="B25">
        <v>12.87311480001652</v>
      </c>
      <c r="C25" s="3">
        <v>9.1749082568807344E-2</v>
      </c>
      <c r="D25" s="3">
        <f t="shared" si="0"/>
        <v>0.17472351282468096</v>
      </c>
      <c r="E25" s="3">
        <v>0.12942351282468095</v>
      </c>
      <c r="F25" s="3">
        <v>0.28000000000000003</v>
      </c>
      <c r="G25" t="s">
        <v>44</v>
      </c>
      <c r="K25" s="118"/>
    </row>
    <row r="26" spans="1:11">
      <c r="A26" t="s">
        <v>70</v>
      </c>
      <c r="B26">
        <v>22.158209502639128</v>
      </c>
      <c r="C26" s="3">
        <v>6.7301834862385335E-2</v>
      </c>
      <c r="D26" s="3">
        <f t="shared" si="0"/>
        <v>0.14023762382750893</v>
      </c>
      <c r="E26" s="3">
        <v>9.4937623827508935E-2</v>
      </c>
      <c r="F26" s="3">
        <v>0.2</v>
      </c>
      <c r="G26" t="s">
        <v>57</v>
      </c>
      <c r="K26" s="118"/>
    </row>
    <row r="27" spans="1:11">
      <c r="A27" t="s">
        <v>71</v>
      </c>
      <c r="B27">
        <v>34.798596482427428</v>
      </c>
      <c r="C27" s="3">
        <v>6.7301834862385335E-2</v>
      </c>
      <c r="D27" s="3">
        <f t="shared" si="0"/>
        <v>0.14023762382750893</v>
      </c>
      <c r="E27" s="3">
        <v>9.4937623827508935E-2</v>
      </c>
      <c r="F27" s="3">
        <v>0.33</v>
      </c>
      <c r="G27" t="s">
        <v>44</v>
      </c>
      <c r="K27" s="118"/>
    </row>
    <row r="28" spans="1:11">
      <c r="A28" t="s">
        <v>72</v>
      </c>
      <c r="B28">
        <v>1653.042795255044</v>
      </c>
      <c r="C28" s="3">
        <v>0</v>
      </c>
      <c r="D28" s="3">
        <f t="shared" si="0"/>
        <v>4.53E-2</v>
      </c>
      <c r="E28" s="3">
        <v>0</v>
      </c>
      <c r="F28" s="3">
        <v>0.25</v>
      </c>
      <c r="G28" t="s">
        <v>73</v>
      </c>
      <c r="K28" s="118"/>
    </row>
    <row r="29" spans="1:11">
      <c r="A29" t="s">
        <v>74</v>
      </c>
      <c r="B29">
        <v>3.2</v>
      </c>
      <c r="C29" s="3">
        <v>7.9525458715596339E-2</v>
      </c>
      <c r="D29" s="3">
        <f t="shared" si="0"/>
        <v>0.15748056832609494</v>
      </c>
      <c r="E29" s="3">
        <v>0.11218056832609494</v>
      </c>
      <c r="F29" s="3"/>
      <c r="G29" t="s">
        <v>44</v>
      </c>
      <c r="K29" s="118"/>
    </row>
    <row r="30" spans="1:11">
      <c r="A30" t="s">
        <v>75</v>
      </c>
      <c r="B30">
        <v>1.9</v>
      </c>
      <c r="C30" s="3">
        <v>7.3341743119266058E-3</v>
      </c>
      <c r="D30" s="3">
        <f t="shared" si="0"/>
        <v>5.5645766699151611E-2</v>
      </c>
      <c r="E30" s="3">
        <v>1.0345766699151613E-2</v>
      </c>
      <c r="F30" s="3">
        <v>0</v>
      </c>
      <c r="G30" t="s">
        <v>49</v>
      </c>
      <c r="K30" s="118"/>
    </row>
    <row r="31" spans="1:11">
      <c r="A31" t="s">
        <v>76</v>
      </c>
      <c r="B31">
        <v>277.07594440194083</v>
      </c>
      <c r="C31" s="3">
        <v>1.0354128440366973E-2</v>
      </c>
      <c r="D31" s="3">
        <f t="shared" si="0"/>
        <v>5.9905788281155219E-2</v>
      </c>
      <c r="E31" s="3">
        <v>1.4605788281155217E-2</v>
      </c>
      <c r="F31" s="3">
        <v>0.27</v>
      </c>
      <c r="G31" t="s">
        <v>46</v>
      </c>
      <c r="K31" s="118"/>
    </row>
    <row r="32" spans="1:11">
      <c r="A32" t="s">
        <v>77</v>
      </c>
      <c r="B32">
        <v>12237.700479375037</v>
      </c>
      <c r="C32" s="3">
        <v>8.6284403669724778E-3</v>
      </c>
      <c r="D32" s="3">
        <f t="shared" si="0"/>
        <v>5.7471490234296013E-2</v>
      </c>
      <c r="E32" s="3">
        <v>1.2171490234296015E-2</v>
      </c>
      <c r="F32" s="3">
        <v>0.25</v>
      </c>
      <c r="G32" t="s">
        <v>57</v>
      </c>
      <c r="K32" s="118"/>
    </row>
    <row r="33" spans="1:11">
      <c r="A33" t="s">
        <v>78</v>
      </c>
      <c r="B33">
        <v>309.19138283336514</v>
      </c>
      <c r="C33" s="3">
        <v>2.3296788990825688E-2</v>
      </c>
      <c r="D33" s="3">
        <f t="shared" si="0"/>
        <v>7.8163023632599235E-2</v>
      </c>
      <c r="E33" s="3">
        <v>3.2863023632599235E-2</v>
      </c>
      <c r="F33" s="3">
        <v>0.35</v>
      </c>
      <c r="G33" t="s">
        <v>46</v>
      </c>
      <c r="K33" s="118"/>
    </row>
    <row r="34" spans="1:11">
      <c r="A34" t="s">
        <v>79</v>
      </c>
      <c r="B34">
        <v>37.24</v>
      </c>
      <c r="C34" s="3">
        <v>7.9525458715596339E-2</v>
      </c>
      <c r="D34" s="3">
        <f t="shared" si="0"/>
        <v>0.15748056832609494</v>
      </c>
      <c r="E34" s="3">
        <v>0.11218056832609494</v>
      </c>
      <c r="F34" s="3">
        <v>0.28000000000000003</v>
      </c>
      <c r="G34" t="s">
        <v>44</v>
      </c>
      <c r="K34" s="118"/>
    </row>
    <row r="35" spans="1:11">
      <c r="A35" t="s">
        <v>80</v>
      </c>
      <c r="B35">
        <v>8.7200000000000006</v>
      </c>
      <c r="C35" s="3">
        <v>0.11015642201834862</v>
      </c>
      <c r="D35" s="3">
        <f t="shared" si="0"/>
        <v>0.20068935865784579</v>
      </c>
      <c r="E35" s="3">
        <v>0.15538935865784578</v>
      </c>
      <c r="F35" s="3">
        <v>0.3</v>
      </c>
      <c r="G35" t="s">
        <v>44</v>
      </c>
      <c r="K35" s="118"/>
    </row>
    <row r="36" spans="1:11">
      <c r="A36" t="s">
        <v>81</v>
      </c>
      <c r="B36">
        <v>1.2</v>
      </c>
      <c r="C36" s="3">
        <v>5.5078211009174309E-2</v>
      </c>
      <c r="D36" s="3">
        <f t="shared" si="0"/>
        <v>0.12299467932892288</v>
      </c>
      <c r="E36" s="3">
        <v>7.7694679328922892E-2</v>
      </c>
      <c r="F36" s="3"/>
      <c r="G36" t="s">
        <v>51</v>
      </c>
      <c r="K36" s="118"/>
    </row>
    <row r="37" spans="1:11">
      <c r="A37" t="s">
        <v>82</v>
      </c>
      <c r="B37">
        <v>57.057372468038302</v>
      </c>
      <c r="C37" s="3">
        <v>6.7301834862385335E-2</v>
      </c>
      <c r="D37" s="3">
        <f t="shared" si="0"/>
        <v>0.14023762382750893</v>
      </c>
      <c r="E37" s="3">
        <v>9.4937623827508935E-2</v>
      </c>
      <c r="F37" s="3">
        <v>0.3</v>
      </c>
      <c r="G37" t="s">
        <v>46</v>
      </c>
      <c r="K37" s="118"/>
    </row>
    <row r="38" spans="1:11">
      <c r="A38" s="116" t="s">
        <v>83</v>
      </c>
      <c r="B38">
        <v>40.388624117110865</v>
      </c>
      <c r="C38" s="3">
        <v>4.4005045871559637E-2</v>
      </c>
      <c r="D38" s="3">
        <f t="shared" si="0"/>
        <v>0.10737460019490969</v>
      </c>
      <c r="E38" s="3">
        <v>6.2074600194909679E-2</v>
      </c>
      <c r="F38" s="3"/>
      <c r="G38" t="s">
        <v>44</v>
      </c>
      <c r="K38" s="118"/>
    </row>
    <row r="39" spans="1:11">
      <c r="A39" t="s">
        <v>84</v>
      </c>
      <c r="B39">
        <v>54.849180228871646</v>
      </c>
      <c r="C39" s="3">
        <v>2.3296788990825688E-2</v>
      </c>
      <c r="D39" s="3">
        <f t="shared" si="0"/>
        <v>7.8163023632599235E-2</v>
      </c>
      <c r="E39" s="3">
        <v>3.2863023632599235E-2</v>
      </c>
      <c r="F39" s="3">
        <v>0.18</v>
      </c>
      <c r="G39" t="s">
        <v>40</v>
      </c>
      <c r="K39" s="118"/>
    </row>
    <row r="40" spans="1:11">
      <c r="A40" t="s">
        <v>85</v>
      </c>
      <c r="B40">
        <v>81.599999999999994</v>
      </c>
      <c r="C40" s="3">
        <v>0.14682729357798166</v>
      </c>
      <c r="D40" s="3">
        <f t="shared" si="0"/>
        <v>0.25241819215360384</v>
      </c>
      <c r="E40" s="3">
        <v>0.20711819215360386</v>
      </c>
      <c r="F40" s="3"/>
      <c r="G40" t="s">
        <v>49</v>
      </c>
      <c r="K40" s="118"/>
    </row>
    <row r="41" spans="1:11">
      <c r="A41" t="s">
        <v>86</v>
      </c>
      <c r="B41">
        <v>1</v>
      </c>
      <c r="C41" s="3">
        <v>2.3296788990825688E-2</v>
      </c>
      <c r="D41" s="3">
        <f t="shared" si="0"/>
        <v>7.8163023632599235E-2</v>
      </c>
      <c r="E41" s="3">
        <v>3.2863023632599235E-2</v>
      </c>
      <c r="F41" s="3">
        <v>0.22</v>
      </c>
      <c r="G41" t="s">
        <v>49</v>
      </c>
      <c r="K41" s="118"/>
    </row>
    <row r="42" spans="1:11">
      <c r="A42" t="s">
        <v>87</v>
      </c>
      <c r="B42">
        <v>21.651791751183232</v>
      </c>
      <c r="C42" s="3">
        <v>3.0630963302752296E-2</v>
      </c>
      <c r="D42" s="3">
        <f t="shared" si="0"/>
        <v>8.8508790331750853E-2</v>
      </c>
      <c r="E42" s="3">
        <v>4.3208790331750853E-2</v>
      </c>
      <c r="F42" s="3">
        <v>0.125</v>
      </c>
      <c r="G42" t="s">
        <v>42</v>
      </c>
      <c r="K42" s="118"/>
    </row>
    <row r="43" spans="1:11">
      <c r="A43" t="s">
        <v>88</v>
      </c>
      <c r="B43">
        <v>215.72553437237121</v>
      </c>
      <c r="C43" s="3">
        <v>7.3341743119266058E-3</v>
      </c>
      <c r="D43" s="3">
        <f t="shared" si="0"/>
        <v>5.5645766699151611E-2</v>
      </c>
      <c r="E43" s="3">
        <v>1.0345766699151613E-2</v>
      </c>
      <c r="F43" s="3">
        <v>0.19</v>
      </c>
      <c r="G43" t="s">
        <v>40</v>
      </c>
      <c r="K43" s="118"/>
    </row>
    <row r="44" spans="1:11">
      <c r="A44" t="s">
        <v>90</v>
      </c>
      <c r="B44">
        <v>324.8719688074687</v>
      </c>
      <c r="C44" s="3">
        <v>0</v>
      </c>
      <c r="D44" s="3">
        <f t="shared" si="0"/>
        <v>4.53E-2</v>
      </c>
      <c r="E44" s="3">
        <v>0</v>
      </c>
      <c r="F44" s="3">
        <v>0.22</v>
      </c>
      <c r="G44" t="s">
        <v>42</v>
      </c>
      <c r="K44" s="118"/>
    </row>
    <row r="45" spans="1:11">
      <c r="A45" t="s">
        <v>91</v>
      </c>
      <c r="B45">
        <v>75.931656814656961</v>
      </c>
      <c r="C45" s="3">
        <v>4.4005045871559637E-2</v>
      </c>
      <c r="D45" s="3">
        <f t="shared" si="0"/>
        <v>0.10737460019490969</v>
      </c>
      <c r="E45" s="3">
        <v>6.2074600194909679E-2</v>
      </c>
      <c r="F45" s="3">
        <v>0.27</v>
      </c>
      <c r="G45" t="s">
        <v>49</v>
      </c>
      <c r="K45" s="118"/>
    </row>
    <row r="46" spans="1:11">
      <c r="A46" t="s">
        <v>92</v>
      </c>
      <c r="B46">
        <v>103.056619</v>
      </c>
      <c r="C46" s="3">
        <v>0.12238004587155965</v>
      </c>
      <c r="D46" s="3">
        <f t="shared" si="0"/>
        <v>0.21793230315643183</v>
      </c>
      <c r="E46" s="3">
        <v>0.17263230315643183</v>
      </c>
      <c r="F46" s="3">
        <v>0.25</v>
      </c>
      <c r="G46" t="s">
        <v>46</v>
      </c>
      <c r="K46" s="118"/>
    </row>
    <row r="47" spans="1:11">
      <c r="A47" t="s">
        <v>93</v>
      </c>
      <c r="B47">
        <v>235.37</v>
      </c>
      <c r="C47" s="3">
        <v>6.7301834862385335E-2</v>
      </c>
      <c r="D47" s="3">
        <f t="shared" si="0"/>
        <v>0.14023762382750893</v>
      </c>
      <c r="E47" s="3">
        <v>9.4937623827508935E-2</v>
      </c>
      <c r="F47" s="3">
        <v>0.22500000000000001</v>
      </c>
      <c r="G47" t="s">
        <v>44</v>
      </c>
      <c r="K47" s="118"/>
    </row>
    <row r="48" spans="1:11">
      <c r="A48" t="s">
        <v>94</v>
      </c>
      <c r="B48">
        <v>24.805439600000003</v>
      </c>
      <c r="C48" s="3">
        <v>0.12238004587155965</v>
      </c>
      <c r="D48" s="3">
        <f t="shared" si="0"/>
        <v>0.21793230315643183</v>
      </c>
      <c r="E48" s="3">
        <v>0.17263230315643183</v>
      </c>
      <c r="F48" s="3">
        <v>0.3</v>
      </c>
      <c r="G48" t="s">
        <v>46</v>
      </c>
      <c r="K48" s="118"/>
    </row>
    <row r="49" spans="1:11">
      <c r="A49" t="s">
        <v>95</v>
      </c>
      <c r="B49">
        <v>25.92107961233366</v>
      </c>
      <c r="C49" s="3">
        <v>8.6284403669724778E-3</v>
      </c>
      <c r="D49" s="3">
        <f t="shared" si="0"/>
        <v>5.7471490234296013E-2</v>
      </c>
      <c r="E49" s="3">
        <v>1.2171490234296015E-2</v>
      </c>
      <c r="F49" s="3">
        <v>0.2</v>
      </c>
      <c r="G49" t="s">
        <v>40</v>
      </c>
      <c r="K49" s="118"/>
    </row>
    <row r="50" spans="1:11">
      <c r="A50" t="s">
        <v>96</v>
      </c>
      <c r="B50">
        <v>80.561496133917188</v>
      </c>
      <c r="C50" s="3">
        <v>0.11015642201834862</v>
      </c>
      <c r="D50" s="3">
        <f t="shared" si="0"/>
        <v>0.20068935865784579</v>
      </c>
      <c r="E50" s="3">
        <v>0.15538935865784578</v>
      </c>
      <c r="F50" s="3">
        <v>0.3</v>
      </c>
      <c r="G50" t="s">
        <v>44</v>
      </c>
      <c r="K50" s="118"/>
    </row>
    <row r="51" spans="1:11">
      <c r="A51" t="s">
        <v>97</v>
      </c>
      <c r="B51">
        <v>5.0612027674294833</v>
      </c>
      <c r="C51" s="3">
        <v>5.5078211009174309E-2</v>
      </c>
      <c r="D51" s="3">
        <f t="shared" si="0"/>
        <v>0.12299467932892288</v>
      </c>
      <c r="E51" s="3">
        <v>7.7694679328922892E-2</v>
      </c>
      <c r="F51" s="3">
        <v>0.2</v>
      </c>
      <c r="G51" t="s">
        <v>57</v>
      </c>
      <c r="K51" s="118"/>
    </row>
    <row r="52" spans="1:11">
      <c r="A52" t="s">
        <v>98</v>
      </c>
      <c r="B52">
        <v>251.88488797276599</v>
      </c>
      <c r="C52" s="3">
        <v>4.8894495412844033E-3</v>
      </c>
      <c r="D52" s="3">
        <f t="shared" si="0"/>
        <v>5.2197177799434405E-2</v>
      </c>
      <c r="E52" s="3">
        <v>6.8971777994344076E-3</v>
      </c>
      <c r="F52" s="3">
        <v>0.2</v>
      </c>
      <c r="G52" t="s">
        <v>42</v>
      </c>
      <c r="K52" s="118"/>
    </row>
    <row r="53" spans="1:11">
      <c r="A53" t="s">
        <v>99</v>
      </c>
      <c r="B53">
        <v>2582.5013072164156</v>
      </c>
      <c r="C53" s="3">
        <v>6.0399082568807346E-3</v>
      </c>
      <c r="D53" s="3">
        <f t="shared" si="0"/>
        <v>5.3820043164007209E-2</v>
      </c>
      <c r="E53" s="3">
        <v>8.5200431640072103E-3</v>
      </c>
      <c r="F53" s="3">
        <v>0.25</v>
      </c>
      <c r="G53" t="s">
        <v>42</v>
      </c>
      <c r="K53" s="118"/>
    </row>
    <row r="54" spans="1:11">
      <c r="A54" t="s">
        <v>100</v>
      </c>
      <c r="B54">
        <v>14.622880885684218</v>
      </c>
      <c r="C54" s="3">
        <v>9.1749082568807344E-2</v>
      </c>
      <c r="D54" s="3">
        <f t="shared" si="0"/>
        <v>0.17472351282468096</v>
      </c>
      <c r="E54" s="3">
        <v>0.12942351282468095</v>
      </c>
      <c r="F54" s="3">
        <v>0.3</v>
      </c>
      <c r="G54" t="s">
        <v>44</v>
      </c>
      <c r="K54" s="118"/>
    </row>
    <row r="55" spans="1:11">
      <c r="A55" t="s">
        <v>101</v>
      </c>
      <c r="B55">
        <v>15.159281211396696</v>
      </c>
      <c r="C55" s="3">
        <v>3.6814678899082569E-2</v>
      </c>
      <c r="D55" s="3">
        <f t="shared" si="0"/>
        <v>9.7231691666329667E-2</v>
      </c>
      <c r="E55" s="3">
        <v>5.193169166632966E-2</v>
      </c>
      <c r="F55" s="3">
        <v>0.15</v>
      </c>
      <c r="G55" t="s">
        <v>40</v>
      </c>
      <c r="K55" s="118"/>
    </row>
    <row r="56" spans="1:11">
      <c r="A56" t="s">
        <v>102</v>
      </c>
      <c r="B56">
        <v>3677.4391297766028</v>
      </c>
      <c r="C56" s="3">
        <v>0</v>
      </c>
      <c r="D56" s="3">
        <f t="shared" si="0"/>
        <v>4.53E-2</v>
      </c>
      <c r="E56" s="3">
        <v>0</v>
      </c>
      <c r="F56" s="3">
        <v>0.3</v>
      </c>
      <c r="G56" t="s">
        <v>42</v>
      </c>
      <c r="K56" s="118"/>
    </row>
    <row r="57" spans="1:11">
      <c r="A57" t="s">
        <v>103</v>
      </c>
      <c r="B57">
        <v>47.330016342573444</v>
      </c>
      <c r="C57" s="3">
        <v>0.14682729357798166</v>
      </c>
      <c r="D57" s="3">
        <f t="shared" si="0"/>
        <v>0.25241819215360384</v>
      </c>
      <c r="E57" s="3">
        <v>0.20711819215360386</v>
      </c>
      <c r="F57" s="3">
        <v>0.25</v>
      </c>
      <c r="G57" t="s">
        <v>44</v>
      </c>
      <c r="K57" s="118"/>
    </row>
    <row r="58" spans="1:11">
      <c r="A58" t="s">
        <v>104</v>
      </c>
      <c r="B58">
        <v>200.28827712903825</v>
      </c>
      <c r="C58" s="3">
        <v>4.4005045871559637E-2</v>
      </c>
      <c r="D58" s="3">
        <f t="shared" si="0"/>
        <v>0.10737460019490969</v>
      </c>
      <c r="E58" s="3">
        <v>6.2074600194909679E-2</v>
      </c>
      <c r="F58" s="3">
        <v>0.22</v>
      </c>
      <c r="G58" t="s">
        <v>42</v>
      </c>
      <c r="K58" s="118"/>
    </row>
    <row r="59" spans="1:11">
      <c r="A59" t="s">
        <v>105</v>
      </c>
      <c r="B59">
        <v>75.620095537500504</v>
      </c>
      <c r="C59" s="3">
        <v>3.0630963302752296E-2</v>
      </c>
      <c r="D59" s="3">
        <f t="shared" si="0"/>
        <v>8.8508790331750853E-2</v>
      </c>
      <c r="E59" s="3">
        <v>4.3208790331750853E-2</v>
      </c>
      <c r="F59" s="3">
        <v>0.25</v>
      </c>
      <c r="G59" t="s">
        <v>46</v>
      </c>
      <c r="K59" s="118"/>
    </row>
    <row r="60" spans="1:11">
      <c r="A60" t="s">
        <v>106</v>
      </c>
      <c r="B60">
        <v>0.5</v>
      </c>
      <c r="C60" s="3">
        <v>0</v>
      </c>
      <c r="D60" s="3">
        <f t="shared" si="0"/>
        <v>4.53E-2</v>
      </c>
      <c r="E60" s="3">
        <v>0</v>
      </c>
      <c r="F60" s="3">
        <v>0</v>
      </c>
      <c r="G60" t="s">
        <v>42</v>
      </c>
      <c r="K60" s="118"/>
    </row>
    <row r="61" spans="1:11">
      <c r="A61" t="s">
        <v>107</v>
      </c>
      <c r="B61">
        <v>22.97853289678163</v>
      </c>
      <c r="C61" s="3">
        <v>5.5078211009174309E-2</v>
      </c>
      <c r="D61" s="3">
        <f t="shared" si="0"/>
        <v>0.12299467932892288</v>
      </c>
      <c r="E61" s="3">
        <v>7.7694679328922892E-2</v>
      </c>
      <c r="F61" s="3">
        <v>0.25</v>
      </c>
      <c r="G61" t="s">
        <v>46</v>
      </c>
      <c r="K61" s="118"/>
    </row>
    <row r="62" spans="1:11">
      <c r="A62" t="s">
        <v>108</v>
      </c>
      <c r="B62">
        <v>341.45</v>
      </c>
      <c r="C62" s="3">
        <v>7.3341743119266058E-3</v>
      </c>
      <c r="D62" s="3">
        <f t="shared" si="0"/>
        <v>5.5645766699151611E-2</v>
      </c>
      <c r="E62" s="3">
        <v>1.0345766699151613E-2</v>
      </c>
      <c r="F62" s="3">
        <v>0.16500000000000001</v>
      </c>
      <c r="G62" t="s">
        <v>57</v>
      </c>
      <c r="K62" s="118"/>
    </row>
    <row r="63" spans="1:11">
      <c r="A63" t="s">
        <v>109</v>
      </c>
      <c r="B63">
        <v>139.13502975828999</v>
      </c>
      <c r="C63" s="3">
        <v>2.3296788990825688E-2</v>
      </c>
      <c r="D63" s="3">
        <f t="shared" si="0"/>
        <v>7.8163023632599235E-2</v>
      </c>
      <c r="E63" s="3">
        <v>3.2863023632599235E-2</v>
      </c>
      <c r="F63" s="3">
        <v>0.09</v>
      </c>
      <c r="G63" t="s">
        <v>40</v>
      </c>
      <c r="K63" s="118"/>
    </row>
    <row r="64" spans="1:11">
      <c r="A64" t="s">
        <v>110</v>
      </c>
      <c r="B64">
        <v>23.909289978586099</v>
      </c>
      <c r="C64" s="3">
        <v>1.0354128440366973E-2</v>
      </c>
      <c r="D64" s="3">
        <f t="shared" si="0"/>
        <v>5.9905788281155219E-2</v>
      </c>
      <c r="E64" s="3">
        <v>1.4605788281155217E-2</v>
      </c>
      <c r="F64" s="3">
        <v>0.2</v>
      </c>
      <c r="G64" t="s">
        <v>42</v>
      </c>
      <c r="K64" s="118"/>
    </row>
    <row r="65" spans="1:11">
      <c r="A65" t="s">
        <v>111</v>
      </c>
      <c r="B65">
        <v>2597.4911628976711</v>
      </c>
      <c r="C65" s="3">
        <v>2.6891972477064225E-2</v>
      </c>
      <c r="D65" s="3">
        <f t="shared" si="0"/>
        <v>8.3234477896889258E-2</v>
      </c>
      <c r="E65" s="3">
        <v>3.7934477896889252E-2</v>
      </c>
      <c r="F65" s="3">
        <v>0.3</v>
      </c>
      <c r="G65" t="s">
        <v>57</v>
      </c>
      <c r="K65" s="118"/>
    </row>
    <row r="66" spans="1:11">
      <c r="A66" t="s">
        <v>112</v>
      </c>
      <c r="B66">
        <v>1015.5390175365033</v>
      </c>
      <c r="C66" s="3">
        <v>2.3296788990825688E-2</v>
      </c>
      <c r="D66" s="3">
        <f t="shared" si="0"/>
        <v>7.8163023632599235E-2</v>
      </c>
      <c r="E66" s="3">
        <v>3.2863023632599235E-2</v>
      </c>
      <c r="F66" s="3">
        <v>0.22</v>
      </c>
      <c r="G66" t="s">
        <v>57</v>
      </c>
      <c r="K66" s="118"/>
    </row>
    <row r="67" spans="1:11">
      <c r="A67" t="s">
        <v>113</v>
      </c>
      <c r="B67">
        <v>197.71573604060913</v>
      </c>
      <c r="C67" s="3">
        <v>9.1749082568807344E-2</v>
      </c>
      <c r="D67" s="3">
        <f t="shared" si="0"/>
        <v>0.17472351282468096</v>
      </c>
      <c r="E67" s="3">
        <v>0.12942351282468095</v>
      </c>
      <c r="F67" s="3">
        <v>0.15</v>
      </c>
      <c r="G67" t="s">
        <v>38</v>
      </c>
      <c r="K67" s="118"/>
    </row>
    <row r="68" spans="1:11">
      <c r="A68" t="s">
        <v>114</v>
      </c>
      <c r="B68">
        <v>333.73076477318006</v>
      </c>
      <c r="C68" s="3">
        <v>8.6284403669724778E-3</v>
      </c>
      <c r="D68" s="3">
        <f t="shared" ref="D68:D131" si="1">$D$148+E68</f>
        <v>5.7471490234296013E-2</v>
      </c>
      <c r="E68" s="3">
        <v>1.2171490234296015E-2</v>
      </c>
      <c r="F68" s="3">
        <v>0.125</v>
      </c>
      <c r="G68" t="s">
        <v>42</v>
      </c>
      <c r="K68" s="118"/>
    </row>
    <row r="69" spans="1:11">
      <c r="A69" t="s">
        <v>115</v>
      </c>
      <c r="B69">
        <v>7.4</v>
      </c>
      <c r="C69" s="3">
        <v>7.3341743119266058E-3</v>
      </c>
      <c r="D69" s="3">
        <f t="shared" si="1"/>
        <v>5.5645766699151611E-2</v>
      </c>
      <c r="E69" s="3">
        <v>1.0345766699151613E-2</v>
      </c>
      <c r="F69" s="3">
        <v>0</v>
      </c>
      <c r="G69" t="s">
        <v>42</v>
      </c>
      <c r="K69" s="118"/>
    </row>
    <row r="70" spans="1:11">
      <c r="A70" t="s">
        <v>116</v>
      </c>
      <c r="B70">
        <v>350.85053782728062</v>
      </c>
      <c r="C70" s="3">
        <v>8.6284403669724778E-3</v>
      </c>
      <c r="D70" s="3">
        <f t="shared" si="1"/>
        <v>5.7471490234296013E-2</v>
      </c>
      <c r="E70" s="3">
        <v>1.2171490234296015E-2</v>
      </c>
      <c r="F70" s="3">
        <v>0.23</v>
      </c>
      <c r="G70" t="s">
        <v>38</v>
      </c>
      <c r="K70" s="118"/>
    </row>
    <row r="71" spans="1:11">
      <c r="A71" t="s">
        <v>117</v>
      </c>
      <c r="B71">
        <v>1934.7979374113268</v>
      </c>
      <c r="C71" s="3">
        <v>2.6891972477064225E-2</v>
      </c>
      <c r="D71" s="3">
        <f t="shared" si="1"/>
        <v>8.3234477896889258E-2</v>
      </c>
      <c r="E71" s="3">
        <v>3.7934477896889252E-2</v>
      </c>
      <c r="F71" s="3">
        <v>0.24</v>
      </c>
      <c r="G71" t="s">
        <v>42</v>
      </c>
      <c r="K71" s="118"/>
    </row>
    <row r="72" spans="1:11">
      <c r="A72" t="s">
        <v>118</v>
      </c>
      <c r="B72">
        <v>14.768134912417116</v>
      </c>
      <c r="C72" s="3">
        <v>6.7301834862385335E-2</v>
      </c>
      <c r="D72" s="3">
        <f t="shared" si="1"/>
        <v>0.14023762382750893</v>
      </c>
      <c r="E72" s="3">
        <v>9.4937623827508935E-2</v>
      </c>
      <c r="F72" s="3">
        <v>0.25</v>
      </c>
      <c r="G72" t="s">
        <v>49</v>
      </c>
      <c r="K72" s="118"/>
    </row>
    <row r="73" spans="1:11">
      <c r="A73" t="s">
        <v>119</v>
      </c>
      <c r="B73">
        <v>4872.1369455075865</v>
      </c>
      <c r="C73" s="3">
        <v>8.6284403669724778E-3</v>
      </c>
      <c r="D73" s="3">
        <f t="shared" si="1"/>
        <v>5.7471490234296013E-2</v>
      </c>
      <c r="E73" s="3">
        <v>1.2171490234296015E-2</v>
      </c>
      <c r="F73" s="3">
        <v>0.23200000000000001</v>
      </c>
      <c r="G73" t="s">
        <v>57</v>
      </c>
      <c r="K73" s="118"/>
    </row>
    <row r="74" spans="1:11">
      <c r="A74" t="s">
        <v>120</v>
      </c>
      <c r="B74">
        <v>1</v>
      </c>
      <c r="C74" s="3">
        <v>0</v>
      </c>
      <c r="D74" s="3">
        <f t="shared" si="1"/>
        <v>4.53E-2</v>
      </c>
      <c r="E74" s="3">
        <v>0</v>
      </c>
      <c r="F74" s="3">
        <v>0</v>
      </c>
      <c r="G74" t="s">
        <v>42</v>
      </c>
      <c r="K74" s="118"/>
    </row>
    <row r="75" spans="1:11">
      <c r="A75" t="s">
        <v>121</v>
      </c>
      <c r="B75">
        <v>40.068308516275501</v>
      </c>
      <c r="C75" s="3">
        <v>5.5078211009174309E-2</v>
      </c>
      <c r="D75" s="3">
        <f t="shared" si="1"/>
        <v>0.12299467932892288</v>
      </c>
      <c r="E75" s="3">
        <v>7.7694679328922892E-2</v>
      </c>
      <c r="F75" s="3">
        <v>0.2</v>
      </c>
      <c r="G75" t="s">
        <v>38</v>
      </c>
      <c r="K75" s="118"/>
    </row>
    <row r="76" spans="1:11">
      <c r="A76" t="s">
        <v>122</v>
      </c>
      <c r="B76">
        <v>159.4069263591216</v>
      </c>
      <c r="C76" s="3">
        <v>2.3296788990825688E-2</v>
      </c>
      <c r="D76" s="3">
        <f t="shared" si="1"/>
        <v>7.8163023632599235E-2</v>
      </c>
      <c r="E76" s="3">
        <v>3.2863023632599235E-2</v>
      </c>
      <c r="F76" s="3">
        <v>0.2</v>
      </c>
      <c r="G76" t="s">
        <v>40</v>
      </c>
      <c r="K76" s="118"/>
    </row>
    <row r="77" spans="1:11">
      <c r="A77" t="s">
        <v>123</v>
      </c>
      <c r="B77">
        <v>74.938190654855816</v>
      </c>
      <c r="C77" s="3">
        <v>6.7301834862385335E-2</v>
      </c>
      <c r="D77" s="3">
        <f t="shared" si="1"/>
        <v>0.14023762382750893</v>
      </c>
      <c r="E77" s="3">
        <v>9.4937623827508935E-2</v>
      </c>
      <c r="F77" s="3">
        <v>0.3</v>
      </c>
      <c r="G77" t="s">
        <v>44</v>
      </c>
      <c r="K77" s="118"/>
    </row>
    <row r="78" spans="1:11">
      <c r="A78" t="s">
        <v>124</v>
      </c>
      <c r="B78">
        <v>1530.75</v>
      </c>
      <c r="C78" s="3">
        <v>6.0399082568807346E-3</v>
      </c>
      <c r="D78" s="3">
        <f t="shared" si="1"/>
        <v>5.3820043164007209E-2</v>
      </c>
      <c r="E78" s="3">
        <v>8.5200431640072103E-3</v>
      </c>
      <c r="F78" s="3">
        <v>0.25</v>
      </c>
      <c r="G78" t="s">
        <v>57</v>
      </c>
      <c r="K78" s="118"/>
    </row>
    <row r="79" spans="1:11">
      <c r="A79" t="s">
        <v>125</v>
      </c>
      <c r="B79">
        <v>120.12627761292451</v>
      </c>
      <c r="C79" s="3">
        <v>8.6284403669724778E-3</v>
      </c>
      <c r="D79" s="3">
        <f t="shared" si="1"/>
        <v>5.7471490234296013E-2</v>
      </c>
      <c r="E79" s="3">
        <v>1.2171490234296015E-2</v>
      </c>
      <c r="F79" s="3">
        <v>0.15</v>
      </c>
      <c r="G79" t="s">
        <v>38</v>
      </c>
      <c r="K79" s="118"/>
    </row>
    <row r="80" spans="1:11">
      <c r="A80" t="s">
        <v>126</v>
      </c>
      <c r="B80">
        <v>7.5647388360412213</v>
      </c>
      <c r="C80" s="3">
        <v>7.9525458715596339E-2</v>
      </c>
      <c r="D80" s="3">
        <f t="shared" si="1"/>
        <v>0.15748056832609494</v>
      </c>
      <c r="E80" s="3">
        <v>0.11218056832609494</v>
      </c>
      <c r="F80" s="3">
        <v>0.1</v>
      </c>
      <c r="G80" t="s">
        <v>40</v>
      </c>
      <c r="K80" s="118"/>
    </row>
    <row r="81" spans="1:11">
      <c r="A81" t="s">
        <v>127</v>
      </c>
      <c r="B81">
        <v>30.264454641800356</v>
      </c>
      <c r="C81" s="3">
        <v>1.4668348623853212E-2</v>
      </c>
      <c r="D81" s="3">
        <f t="shared" si="1"/>
        <v>6.5991533398303229E-2</v>
      </c>
      <c r="E81" s="3">
        <v>2.0691533398303225E-2</v>
      </c>
      <c r="F81" s="3">
        <v>0.2</v>
      </c>
      <c r="G81" t="s">
        <v>40</v>
      </c>
      <c r="K81" s="118"/>
    </row>
    <row r="82" spans="1:11">
      <c r="A82" t="s">
        <v>128</v>
      </c>
      <c r="B82">
        <v>51.844487742023212</v>
      </c>
      <c r="C82" s="3">
        <v>0.17499999999999999</v>
      </c>
      <c r="D82" s="3">
        <f t="shared" si="1"/>
        <v>0.29215930485826308</v>
      </c>
      <c r="E82" s="3">
        <v>0.2468593048582631</v>
      </c>
      <c r="F82" s="3">
        <v>0.17</v>
      </c>
      <c r="G82" t="s">
        <v>38</v>
      </c>
      <c r="K82" s="118"/>
    </row>
    <row r="83" spans="1:11">
      <c r="A83" t="s">
        <v>129</v>
      </c>
      <c r="B83">
        <v>6.7</v>
      </c>
      <c r="C83" s="3">
        <v>0</v>
      </c>
      <c r="D83" s="3">
        <f t="shared" si="1"/>
        <v>4.53E-2</v>
      </c>
      <c r="E83" s="3">
        <v>0</v>
      </c>
      <c r="F83" s="3">
        <v>0.125</v>
      </c>
      <c r="G83" t="s">
        <v>42</v>
      </c>
      <c r="K83" s="118"/>
    </row>
    <row r="84" spans="1:11">
      <c r="A84" t="s">
        <v>130</v>
      </c>
      <c r="B84">
        <v>47.168303744132935</v>
      </c>
      <c r="C84" s="3">
        <v>1.0354128440366973E-2</v>
      </c>
      <c r="D84" s="3">
        <f t="shared" si="1"/>
        <v>5.9905788281155219E-2</v>
      </c>
      <c r="E84" s="3">
        <v>1.4605788281155217E-2</v>
      </c>
      <c r="F84" s="3">
        <v>0.15</v>
      </c>
      <c r="G84" t="s">
        <v>40</v>
      </c>
      <c r="K84" s="118"/>
    </row>
    <row r="85" spans="1:11">
      <c r="A85" t="s">
        <v>131</v>
      </c>
      <c r="B85">
        <v>62.404461274663575</v>
      </c>
      <c r="C85" s="3">
        <v>0</v>
      </c>
      <c r="D85" s="3">
        <f t="shared" si="1"/>
        <v>4.53E-2</v>
      </c>
      <c r="E85" s="3">
        <v>0</v>
      </c>
      <c r="F85" s="3">
        <v>0.24940000000000001</v>
      </c>
      <c r="G85" t="s">
        <v>42</v>
      </c>
      <c r="K85" s="118"/>
    </row>
    <row r="86" spans="1:11">
      <c r="A86" t="s">
        <v>132</v>
      </c>
      <c r="B86">
        <v>62.404461274663575</v>
      </c>
      <c r="C86" s="3">
        <v>7.3341743119266058E-3</v>
      </c>
      <c r="D86" s="3">
        <f t="shared" si="1"/>
        <v>5.5645766699151611E-2</v>
      </c>
      <c r="E86" s="3">
        <v>1.0345766699151613E-2</v>
      </c>
      <c r="F86" s="3">
        <v>0.12</v>
      </c>
      <c r="G86" t="s">
        <v>57</v>
      </c>
      <c r="K86" s="118"/>
    </row>
    <row r="87" spans="1:11">
      <c r="A87" t="s">
        <v>133</v>
      </c>
      <c r="B87">
        <v>50.361201096436588</v>
      </c>
      <c r="C87" s="3">
        <v>4.4005045871559637E-2</v>
      </c>
      <c r="D87" s="3">
        <f t="shared" si="1"/>
        <v>0.10737460019490969</v>
      </c>
      <c r="E87" s="3">
        <v>6.2074600194909679E-2</v>
      </c>
      <c r="F87" s="3">
        <v>0.1</v>
      </c>
      <c r="G87" t="s">
        <v>40</v>
      </c>
      <c r="K87" s="118"/>
    </row>
    <row r="88" spans="1:11">
      <c r="A88" t="s">
        <v>134</v>
      </c>
      <c r="B88">
        <v>314.50027904380988</v>
      </c>
      <c r="C88" s="3">
        <v>1.4668348623853212E-2</v>
      </c>
      <c r="D88" s="3">
        <f t="shared" si="1"/>
        <v>6.5991533398303229E-2</v>
      </c>
      <c r="E88" s="3">
        <v>2.0691533398303225E-2</v>
      </c>
      <c r="F88" s="3">
        <v>0.24</v>
      </c>
      <c r="G88" t="s">
        <v>57</v>
      </c>
      <c r="K88" s="118"/>
    </row>
    <row r="89" spans="1:11">
      <c r="A89" t="s">
        <v>607</v>
      </c>
      <c r="B89">
        <v>4.5970833035069338</v>
      </c>
      <c r="C89" s="3">
        <v>9.1749082568807344E-2</v>
      </c>
      <c r="D89" s="3">
        <f t="shared" si="1"/>
        <v>0.17472351282468096</v>
      </c>
      <c r="E89" s="3">
        <v>0.12942351282468095</v>
      </c>
      <c r="F89" s="3"/>
      <c r="G89" t="s">
        <v>57</v>
      </c>
      <c r="K89" s="118"/>
    </row>
    <row r="90" spans="1:11">
      <c r="A90" t="s">
        <v>135</v>
      </c>
      <c r="B90">
        <v>12.5377507324769</v>
      </c>
      <c r="C90" s="3">
        <v>1.0354128440366973E-2</v>
      </c>
      <c r="D90" s="3">
        <f t="shared" si="1"/>
        <v>5.9905788281155219E-2</v>
      </c>
      <c r="E90" s="3">
        <v>1.4605788281155217E-2</v>
      </c>
      <c r="F90" s="3">
        <v>0.35</v>
      </c>
      <c r="G90" t="s">
        <v>42</v>
      </c>
      <c r="K90" s="118"/>
    </row>
    <row r="91" spans="1:11">
      <c r="A91" t="s">
        <v>136</v>
      </c>
      <c r="B91">
        <v>13.338147523012408</v>
      </c>
      <c r="C91" s="3">
        <v>2.6891972477064225E-2</v>
      </c>
      <c r="D91" s="3">
        <f t="shared" si="1"/>
        <v>8.3234477896889258E-2</v>
      </c>
      <c r="E91" s="3">
        <v>3.7934477896889252E-2</v>
      </c>
      <c r="F91" s="3">
        <v>0.15</v>
      </c>
      <c r="G91" t="s">
        <v>57</v>
      </c>
      <c r="K91" s="118"/>
    </row>
    <row r="92" spans="1:11">
      <c r="A92" t="s">
        <v>137</v>
      </c>
      <c r="B92">
        <v>1149.9187947657313</v>
      </c>
      <c r="C92" s="3">
        <v>2.3296788990825688E-2</v>
      </c>
      <c r="D92" s="3">
        <f t="shared" si="1"/>
        <v>7.8163023632599235E-2</v>
      </c>
      <c r="E92" s="3">
        <v>3.2863023632599235E-2</v>
      </c>
      <c r="F92" s="3">
        <v>0.3</v>
      </c>
      <c r="G92" t="s">
        <v>46</v>
      </c>
      <c r="K92" s="118"/>
    </row>
    <row r="93" spans="1:11">
      <c r="A93" t="s">
        <v>138</v>
      </c>
      <c r="B93">
        <v>8.1284934320774092</v>
      </c>
      <c r="C93" s="3">
        <v>7.9525458715596339E-2</v>
      </c>
      <c r="D93" s="3">
        <f t="shared" si="1"/>
        <v>0.15748056832609494</v>
      </c>
      <c r="E93" s="3">
        <v>0.11218056832609494</v>
      </c>
      <c r="F93" s="3">
        <v>0.12</v>
      </c>
      <c r="G93" t="s">
        <v>40</v>
      </c>
      <c r="K93" s="118"/>
    </row>
    <row r="94" spans="1:11">
      <c r="A94" t="s">
        <v>139</v>
      </c>
      <c r="B94">
        <v>11.48804688104307</v>
      </c>
      <c r="C94" s="3">
        <v>7.9525458715596339E-2</v>
      </c>
      <c r="D94" s="3">
        <f t="shared" si="1"/>
        <v>0.15748056832609494</v>
      </c>
      <c r="E94" s="3">
        <v>0.11218056832609494</v>
      </c>
      <c r="F94" s="3">
        <v>0.25</v>
      </c>
      <c r="G94" t="s">
        <v>57</v>
      </c>
      <c r="K94" s="118"/>
    </row>
    <row r="95" spans="1:11">
      <c r="A95" t="s">
        <v>140</v>
      </c>
      <c r="B95">
        <v>4.7740860942077994</v>
      </c>
      <c r="C95" s="3">
        <v>5.5078211009174309E-2</v>
      </c>
      <c r="D95" s="3">
        <f t="shared" si="1"/>
        <v>0.12299467932892288</v>
      </c>
      <c r="E95" s="3">
        <v>7.7694679328922892E-2</v>
      </c>
      <c r="F95" s="3">
        <v>0.15</v>
      </c>
      <c r="G95" t="s">
        <v>40</v>
      </c>
      <c r="K95" s="118"/>
    </row>
    <row r="96" spans="1:11">
      <c r="A96" t="s">
        <v>141</v>
      </c>
      <c r="B96">
        <v>1.5</v>
      </c>
      <c r="C96" s="3">
        <v>2.6891972477064225E-2</v>
      </c>
      <c r="D96" s="3">
        <f t="shared" si="1"/>
        <v>8.3234477896889258E-2</v>
      </c>
      <c r="E96" s="3">
        <v>3.7934477896889252E-2</v>
      </c>
      <c r="F96" s="3"/>
      <c r="G96" t="s">
        <v>49</v>
      </c>
      <c r="K96" s="118"/>
    </row>
    <row r="97" spans="1:11">
      <c r="A97" t="s">
        <v>142</v>
      </c>
      <c r="B97">
        <v>109.13948400742879</v>
      </c>
      <c r="C97" s="3">
        <v>3.0630963302752296E-2</v>
      </c>
      <c r="D97" s="3">
        <f t="shared" si="1"/>
        <v>8.8508790331750853E-2</v>
      </c>
      <c r="E97" s="3">
        <v>4.3208790331750853E-2</v>
      </c>
      <c r="F97" s="3">
        <v>0.31</v>
      </c>
      <c r="G97" t="s">
        <v>44</v>
      </c>
      <c r="K97" s="118"/>
    </row>
    <row r="98" spans="1:11">
      <c r="A98" t="s">
        <v>143</v>
      </c>
      <c r="B98">
        <v>12.333859926276988</v>
      </c>
      <c r="C98" s="3">
        <v>0.11015642201834862</v>
      </c>
      <c r="D98" s="3">
        <f t="shared" si="1"/>
        <v>0.20068935865784579</v>
      </c>
      <c r="E98" s="3">
        <v>0.15538935865784578</v>
      </c>
      <c r="F98" s="3">
        <v>0.32</v>
      </c>
      <c r="G98" t="s">
        <v>44</v>
      </c>
      <c r="K98" s="118"/>
    </row>
    <row r="99" spans="1:11">
      <c r="A99" t="s">
        <v>144</v>
      </c>
      <c r="B99">
        <v>13.244597345431874</v>
      </c>
      <c r="C99" s="3">
        <v>5.5078211009174309E-2</v>
      </c>
      <c r="D99" s="3">
        <f t="shared" si="1"/>
        <v>0.12299467932892288</v>
      </c>
      <c r="E99" s="3">
        <v>7.7694679328922892E-2</v>
      </c>
      <c r="F99" s="3">
        <v>0.32</v>
      </c>
      <c r="G99" t="s">
        <v>44</v>
      </c>
      <c r="K99" s="118"/>
    </row>
    <row r="100" spans="1:11">
      <c r="A100" t="s">
        <v>145</v>
      </c>
      <c r="B100">
        <v>826.20028250112694</v>
      </c>
      <c r="C100" s="3">
        <v>0</v>
      </c>
      <c r="D100" s="3">
        <f t="shared" si="1"/>
        <v>4.53E-2</v>
      </c>
      <c r="E100" s="3">
        <v>0</v>
      </c>
      <c r="F100" s="3">
        <v>0.25800000000000001</v>
      </c>
      <c r="G100" t="s">
        <v>42</v>
      </c>
      <c r="K100" s="118"/>
    </row>
    <row r="101" spans="1:11">
      <c r="A101" t="s">
        <v>146</v>
      </c>
      <c r="B101">
        <v>205.85283825471217</v>
      </c>
      <c r="C101" s="3">
        <v>0</v>
      </c>
      <c r="D101" s="3">
        <f t="shared" si="1"/>
        <v>4.53E-2</v>
      </c>
      <c r="E101" s="3">
        <v>0</v>
      </c>
      <c r="F101" s="3">
        <v>0.28000000000000003</v>
      </c>
      <c r="G101" t="s">
        <v>51</v>
      </c>
      <c r="K101" s="118"/>
    </row>
    <row r="102" spans="1:11">
      <c r="A102" t="s">
        <v>147</v>
      </c>
      <c r="B102">
        <v>13.814261535543384</v>
      </c>
      <c r="C102" s="3">
        <v>7.9525458715596339E-2</v>
      </c>
      <c r="D102" s="3">
        <f t="shared" si="1"/>
        <v>0.15748056832609494</v>
      </c>
      <c r="E102" s="3">
        <v>0.11218056832609494</v>
      </c>
      <c r="F102" s="3">
        <v>0.3</v>
      </c>
      <c r="G102" t="s">
        <v>46</v>
      </c>
      <c r="K102" s="118"/>
    </row>
    <row r="103" spans="1:11">
      <c r="A103" t="s">
        <v>148</v>
      </c>
      <c r="B103">
        <v>375.77071374276341</v>
      </c>
      <c r="C103" s="3">
        <v>7.9525458715596339E-2</v>
      </c>
      <c r="D103" s="3">
        <f t="shared" si="1"/>
        <v>0.15748056832609494</v>
      </c>
      <c r="E103" s="3">
        <v>0.11218056832609494</v>
      </c>
      <c r="F103" s="3">
        <v>0.3</v>
      </c>
      <c r="G103" t="s">
        <v>44</v>
      </c>
      <c r="K103" s="118"/>
    </row>
    <row r="104" spans="1:11">
      <c r="A104" t="s">
        <v>149</v>
      </c>
      <c r="B104">
        <v>398.83195647793656</v>
      </c>
      <c r="C104" s="3">
        <v>0</v>
      </c>
      <c r="D104" s="3">
        <f t="shared" si="1"/>
        <v>4.53E-2</v>
      </c>
      <c r="E104" s="3">
        <v>0</v>
      </c>
      <c r="F104" s="3">
        <v>0.22</v>
      </c>
      <c r="G104" t="s">
        <v>42</v>
      </c>
      <c r="K104" s="118"/>
    </row>
    <row r="105" spans="1:11">
      <c r="A105" t="s">
        <v>150</v>
      </c>
      <c r="B105">
        <v>72.642652795838742</v>
      </c>
      <c r="C105" s="3">
        <v>4.4005045871559637E-2</v>
      </c>
      <c r="D105" s="3">
        <f t="shared" si="1"/>
        <v>0.10737460019490969</v>
      </c>
      <c r="E105" s="3">
        <v>6.2074600194909679E-2</v>
      </c>
      <c r="F105" s="3">
        <v>0.15</v>
      </c>
      <c r="G105" t="s">
        <v>38</v>
      </c>
      <c r="K105" s="118"/>
    </row>
    <row r="106" spans="1:11">
      <c r="A106" t="s">
        <v>151</v>
      </c>
      <c r="B106">
        <v>304.95181849406555</v>
      </c>
      <c r="C106" s="3">
        <v>9.1749082568807344E-2</v>
      </c>
      <c r="D106" s="3">
        <f t="shared" si="1"/>
        <v>0.17472351282468096</v>
      </c>
      <c r="E106" s="3">
        <v>0.12942351282468095</v>
      </c>
      <c r="F106" s="3">
        <v>0.28999999999999998</v>
      </c>
      <c r="G106" t="s">
        <v>57</v>
      </c>
      <c r="K106" s="118"/>
    </row>
    <row r="107" spans="1:11">
      <c r="A107" t="s">
        <v>152</v>
      </c>
      <c r="B107">
        <v>61.838175799999995</v>
      </c>
      <c r="C107" s="3">
        <v>2.3296788990825688E-2</v>
      </c>
      <c r="D107" s="3">
        <f t="shared" si="1"/>
        <v>7.8163023632599235E-2</v>
      </c>
      <c r="E107" s="3">
        <v>3.2863023632599235E-2</v>
      </c>
      <c r="F107" s="3">
        <v>0.25</v>
      </c>
      <c r="G107" t="s">
        <v>46</v>
      </c>
      <c r="K107" s="118"/>
    </row>
    <row r="108" spans="1:11">
      <c r="A108" t="s">
        <v>153</v>
      </c>
      <c r="B108">
        <v>21.088758484748524</v>
      </c>
      <c r="C108" s="3">
        <v>6.7301834862385335E-2</v>
      </c>
      <c r="D108" s="3">
        <f t="shared" si="1"/>
        <v>0.14023762382750893</v>
      </c>
      <c r="E108" s="3">
        <v>9.4937623827508935E-2</v>
      </c>
      <c r="F108" s="3">
        <v>0.3</v>
      </c>
      <c r="G108" t="s">
        <v>57</v>
      </c>
      <c r="K108" s="118"/>
    </row>
    <row r="109" spans="1:11">
      <c r="A109" t="s">
        <v>154</v>
      </c>
      <c r="B109">
        <v>29.7348952489053</v>
      </c>
      <c r="C109" s="3">
        <v>3.0630963302752296E-2</v>
      </c>
      <c r="D109" s="3">
        <f t="shared" si="1"/>
        <v>8.8508790331750853E-2</v>
      </c>
      <c r="E109" s="3">
        <v>4.3208790331750853E-2</v>
      </c>
      <c r="F109" s="3">
        <v>0.1</v>
      </c>
      <c r="G109" t="s">
        <v>46</v>
      </c>
      <c r="K109" s="118"/>
    </row>
    <row r="110" spans="1:11">
      <c r="A110" t="s">
        <v>155</v>
      </c>
      <c r="B110">
        <v>211.38927224215658</v>
      </c>
      <c r="C110" s="3">
        <v>1.9557798165137613E-2</v>
      </c>
      <c r="D110" s="3">
        <f t="shared" si="1"/>
        <v>7.2888711197737627E-2</v>
      </c>
      <c r="E110" s="3">
        <v>2.758871119773763E-2</v>
      </c>
      <c r="F110" s="3">
        <v>0.29499999999999998</v>
      </c>
      <c r="G110" t="s">
        <v>46</v>
      </c>
      <c r="K110" s="118"/>
    </row>
    <row r="111" spans="1:11">
      <c r="A111" t="s">
        <v>156</v>
      </c>
      <c r="B111">
        <v>313.59520873726927</v>
      </c>
      <c r="C111" s="3">
        <v>2.3296788990825688E-2</v>
      </c>
      <c r="D111" s="3">
        <f t="shared" si="1"/>
        <v>7.8163023632599235E-2</v>
      </c>
      <c r="E111" s="3">
        <v>3.2863023632599235E-2</v>
      </c>
      <c r="F111" s="3">
        <v>0.25</v>
      </c>
      <c r="G111" t="s">
        <v>57</v>
      </c>
      <c r="K111" s="118"/>
    </row>
    <row r="112" spans="1:11">
      <c r="A112" t="s">
        <v>157</v>
      </c>
      <c r="B112">
        <v>524.5095652634086</v>
      </c>
      <c r="C112" s="3">
        <v>1.0354128440366973E-2</v>
      </c>
      <c r="D112" s="3">
        <f t="shared" si="1"/>
        <v>5.9905788281155219E-2</v>
      </c>
      <c r="E112" s="3">
        <v>1.4605788281155217E-2</v>
      </c>
      <c r="F112" s="3">
        <v>0.19</v>
      </c>
      <c r="G112" t="s">
        <v>40</v>
      </c>
      <c r="K112" s="118"/>
    </row>
    <row r="113" spans="1:11">
      <c r="A113" t="s">
        <v>158</v>
      </c>
      <c r="B113">
        <v>217.57108304599035</v>
      </c>
      <c r="C113" s="3">
        <v>2.3296788990825688E-2</v>
      </c>
      <c r="D113" s="3">
        <f t="shared" si="1"/>
        <v>7.8163023632599235E-2</v>
      </c>
      <c r="E113" s="3">
        <v>3.2863023632599235E-2</v>
      </c>
      <c r="F113" s="3">
        <v>0.21</v>
      </c>
      <c r="G113" t="s">
        <v>42</v>
      </c>
      <c r="K113" s="118"/>
    </row>
    <row r="114" spans="1:11">
      <c r="A114" t="s">
        <v>159</v>
      </c>
      <c r="B114">
        <v>167.60521978021978</v>
      </c>
      <c r="C114" s="3">
        <v>7.3341743119266058E-3</v>
      </c>
      <c r="D114" s="3">
        <f t="shared" si="1"/>
        <v>5.5645766699151611E-2</v>
      </c>
      <c r="E114" s="3">
        <v>1.0345766699151613E-2</v>
      </c>
      <c r="F114" s="3">
        <v>0.1</v>
      </c>
      <c r="G114" t="s">
        <v>38</v>
      </c>
      <c r="K114" s="118"/>
    </row>
    <row r="115" spans="1:11">
      <c r="A115" t="s">
        <v>591</v>
      </c>
      <c r="B115">
        <v>5.2</v>
      </c>
      <c r="C115" s="3">
        <v>1.4668348623853212E-2</v>
      </c>
      <c r="D115" s="3">
        <f t="shared" si="1"/>
        <v>6.5991533398303229E-2</v>
      </c>
      <c r="E115" s="3">
        <v>2.0691533398303225E-2</v>
      </c>
      <c r="F115" s="3"/>
      <c r="G115" t="s">
        <v>38</v>
      </c>
      <c r="K115" s="118"/>
    </row>
    <row r="116" spans="1:11">
      <c r="A116" t="s">
        <v>162</v>
      </c>
      <c r="B116">
        <v>211.80328192473783</v>
      </c>
      <c r="C116" s="3">
        <v>2.6891972477064225E-2</v>
      </c>
      <c r="D116" s="3">
        <f t="shared" si="1"/>
        <v>8.3234477896889258E-2</v>
      </c>
      <c r="E116" s="3">
        <v>3.7934477896889252E-2</v>
      </c>
      <c r="F116" s="3">
        <v>0.16</v>
      </c>
      <c r="G116" t="s">
        <v>40</v>
      </c>
      <c r="K116" s="118"/>
    </row>
    <row r="117" spans="1:11">
      <c r="A117" t="s">
        <v>163</v>
      </c>
      <c r="B117">
        <v>1577.5241459631695</v>
      </c>
      <c r="C117" s="3">
        <v>9.1749082568807344E-2</v>
      </c>
      <c r="D117" s="3">
        <f t="shared" si="1"/>
        <v>0.17472351282468096</v>
      </c>
      <c r="E117" s="3">
        <v>0.12942351282468095</v>
      </c>
      <c r="F117" s="3">
        <v>0.2</v>
      </c>
      <c r="G117" t="s">
        <v>40</v>
      </c>
      <c r="K117" s="118"/>
    </row>
    <row r="118" spans="1:11">
      <c r="A118" t="s">
        <v>164</v>
      </c>
      <c r="B118">
        <v>9.1366895140947939</v>
      </c>
      <c r="C118" s="3">
        <v>6.7301834862385335E-2</v>
      </c>
      <c r="D118" s="3">
        <f t="shared" si="1"/>
        <v>0.14023762382750893</v>
      </c>
      <c r="E118" s="3">
        <v>9.4937623827508935E-2</v>
      </c>
      <c r="F118" s="3">
        <v>0.3</v>
      </c>
      <c r="G118" t="s">
        <v>44</v>
      </c>
      <c r="K118" s="118"/>
    </row>
    <row r="119" spans="1:11">
      <c r="A119" t="s">
        <v>165</v>
      </c>
      <c r="B119">
        <v>683.82714428853603</v>
      </c>
      <c r="C119" s="3">
        <v>8.6284403669724778E-3</v>
      </c>
      <c r="D119" s="3">
        <f t="shared" si="1"/>
        <v>5.7471490234296013E-2</v>
      </c>
      <c r="E119" s="3">
        <v>1.2171490234296015E-2</v>
      </c>
      <c r="F119" s="3">
        <v>0.2</v>
      </c>
      <c r="G119" t="s">
        <v>38</v>
      </c>
      <c r="K119" s="118"/>
    </row>
    <row r="120" spans="1:11">
      <c r="A120" t="s">
        <v>166</v>
      </c>
      <c r="B120">
        <v>16.374743753473073</v>
      </c>
      <c r="C120" s="3">
        <v>4.4005045871559637E-2</v>
      </c>
      <c r="D120" s="3">
        <f t="shared" si="1"/>
        <v>0.10737460019490969</v>
      </c>
      <c r="E120" s="3">
        <v>6.2074600194909679E-2</v>
      </c>
      <c r="F120" s="3">
        <v>0.3</v>
      </c>
      <c r="G120" t="s">
        <v>44</v>
      </c>
      <c r="K120" s="118"/>
    </row>
    <row r="121" spans="1:11">
      <c r="A121" t="s">
        <v>167</v>
      </c>
      <c r="B121">
        <v>41.431648801166318</v>
      </c>
      <c r="C121" s="3">
        <v>3.6814678899082569E-2</v>
      </c>
      <c r="D121" s="3">
        <f t="shared" si="1"/>
        <v>9.7231691666329667E-2</v>
      </c>
      <c r="E121" s="3">
        <v>5.193169166632966E-2</v>
      </c>
      <c r="F121" s="3">
        <v>0.15</v>
      </c>
      <c r="G121" t="s">
        <v>40</v>
      </c>
      <c r="K121" s="118"/>
    </row>
    <row r="122" spans="1:11">
      <c r="A122" t="s">
        <v>168</v>
      </c>
      <c r="B122">
        <v>5</v>
      </c>
      <c r="C122" s="3">
        <v>3.0630963302752296E-2</v>
      </c>
      <c r="D122" s="3">
        <f t="shared" si="1"/>
        <v>8.8508790331750853E-2</v>
      </c>
      <c r="E122" s="3">
        <v>4.3208790331750853E-2</v>
      </c>
      <c r="F122" s="3"/>
      <c r="G122" t="s">
        <v>38</v>
      </c>
      <c r="K122" s="118"/>
    </row>
    <row r="123" spans="1:11">
      <c r="A123" t="s">
        <v>169</v>
      </c>
      <c r="B123">
        <v>323.90723441233979</v>
      </c>
      <c r="C123" s="3">
        <v>0</v>
      </c>
      <c r="D123" s="3">
        <f t="shared" si="1"/>
        <v>4.53E-2</v>
      </c>
      <c r="E123" s="3">
        <v>0</v>
      </c>
      <c r="F123" s="3">
        <v>0.17</v>
      </c>
      <c r="G123" t="s">
        <v>57</v>
      </c>
      <c r="K123" s="118"/>
    </row>
    <row r="124" spans="1:11">
      <c r="A124" t="s">
        <v>170</v>
      </c>
      <c r="B124">
        <v>95.769031980136219</v>
      </c>
      <c r="C124" s="3">
        <v>1.0354128440366973E-2</v>
      </c>
      <c r="D124" s="3">
        <f t="shared" si="1"/>
        <v>5.9905788281155219E-2</v>
      </c>
      <c r="E124" s="3">
        <v>1.4605788281155217E-2</v>
      </c>
      <c r="F124" s="3">
        <v>0.21</v>
      </c>
      <c r="G124" t="s">
        <v>40</v>
      </c>
      <c r="K124" s="118"/>
    </row>
    <row r="125" spans="1:11">
      <c r="A125" t="s">
        <v>171</v>
      </c>
      <c r="B125">
        <v>48.769655479238807</v>
      </c>
      <c r="C125" s="3">
        <v>1.4668348623853212E-2</v>
      </c>
      <c r="D125" s="3">
        <f t="shared" si="1"/>
        <v>6.5991533398303229E-2</v>
      </c>
      <c r="E125" s="3">
        <v>2.0691533398303225E-2</v>
      </c>
      <c r="F125" s="3">
        <v>0.19</v>
      </c>
      <c r="G125" t="s">
        <v>40</v>
      </c>
      <c r="K125" s="118"/>
    </row>
    <row r="126" spans="1:11">
      <c r="A126" t="s">
        <v>608</v>
      </c>
      <c r="B126">
        <v>1.3034536161197352</v>
      </c>
      <c r="C126" s="3">
        <v>9.1749082568807344E-2</v>
      </c>
      <c r="D126" s="3">
        <f t="shared" si="1"/>
        <v>0.17472351282468096</v>
      </c>
      <c r="E126" s="3">
        <v>0.12942351282468095</v>
      </c>
      <c r="F126" s="3">
        <v>0.3</v>
      </c>
      <c r="G126" t="s">
        <v>57</v>
      </c>
      <c r="K126" s="118"/>
    </row>
    <row r="127" spans="1:11">
      <c r="A127" t="s">
        <v>172</v>
      </c>
      <c r="B127">
        <v>349.41934361408858</v>
      </c>
      <c r="C127" s="3">
        <v>3.6814678899082569E-2</v>
      </c>
      <c r="D127" s="3">
        <f t="shared" si="1"/>
        <v>9.7231691666329667E-2</v>
      </c>
      <c r="E127" s="3">
        <v>5.193169166632966E-2</v>
      </c>
      <c r="F127" s="3">
        <v>0.27</v>
      </c>
      <c r="G127" t="s">
        <v>44</v>
      </c>
      <c r="K127" s="118"/>
    </row>
    <row r="128" spans="1:11">
      <c r="A128" t="s">
        <v>173</v>
      </c>
      <c r="B128">
        <v>1311.3200155159884</v>
      </c>
      <c r="C128" s="3">
        <v>1.9557798165137613E-2</v>
      </c>
      <c r="D128" s="3">
        <f t="shared" si="1"/>
        <v>7.2888711197737627E-2</v>
      </c>
      <c r="E128" s="3">
        <v>2.758871119773763E-2</v>
      </c>
      <c r="F128" s="3">
        <v>0.25</v>
      </c>
      <c r="G128" t="s">
        <v>42</v>
      </c>
      <c r="K128" s="118"/>
    </row>
    <row r="129" spans="1:11">
      <c r="A129" t="s">
        <v>174</v>
      </c>
      <c r="B129">
        <v>87.1746822004324</v>
      </c>
      <c r="C129" s="3">
        <v>0.14682729357798166</v>
      </c>
      <c r="D129" s="3">
        <f t="shared" si="1"/>
        <v>0.25241819215360384</v>
      </c>
      <c r="E129" s="3">
        <v>0.20711819215360386</v>
      </c>
      <c r="F129" s="3">
        <v>0.24</v>
      </c>
      <c r="G129" t="s">
        <v>57</v>
      </c>
      <c r="K129" s="118"/>
    </row>
    <row r="130" spans="1:11">
      <c r="A130" t="s">
        <v>175</v>
      </c>
      <c r="B130">
        <v>1.5</v>
      </c>
      <c r="C130" s="3">
        <v>3.6814678899082569E-2</v>
      </c>
      <c r="D130" s="3">
        <f t="shared" si="1"/>
        <v>9.7231691666329667E-2</v>
      </c>
      <c r="E130" s="3">
        <v>5.193169166632966E-2</v>
      </c>
      <c r="F130" s="3">
        <v>0.35</v>
      </c>
      <c r="G130" t="s">
        <v>49</v>
      </c>
      <c r="K130" s="118"/>
    </row>
    <row r="131" spans="1:11">
      <c r="A131" t="s">
        <v>176</v>
      </c>
      <c r="B131">
        <v>0.77</v>
      </c>
      <c r="C131" s="3">
        <v>7.9525458715596339E-2</v>
      </c>
      <c r="D131" s="3">
        <f t="shared" si="1"/>
        <v>0.15748056832609494</v>
      </c>
      <c r="E131" s="3">
        <v>0.11218056832609494</v>
      </c>
      <c r="F131" s="3"/>
      <c r="G131" t="s">
        <v>49</v>
      </c>
      <c r="K131" s="118"/>
    </row>
    <row r="132" spans="1:11">
      <c r="A132" t="s">
        <v>177</v>
      </c>
      <c r="B132">
        <v>3.3243853252667708</v>
      </c>
      <c r="C132" s="3">
        <v>0.12238004587155965</v>
      </c>
      <c r="D132" s="3">
        <f t="shared" ref="D132:D147" si="2">$D$148+E132</f>
        <v>0.21793230315643183</v>
      </c>
      <c r="E132" s="3">
        <v>0.17263230315643183</v>
      </c>
      <c r="F132" s="3">
        <v>0.36</v>
      </c>
      <c r="G132" t="s">
        <v>46</v>
      </c>
      <c r="K132" s="118"/>
    </row>
    <row r="133" spans="1:11">
      <c r="A133" t="s">
        <v>178</v>
      </c>
      <c r="B133">
        <v>3.72</v>
      </c>
      <c r="C133" s="3">
        <v>7.9525458715596339E-2</v>
      </c>
      <c r="D133" s="3">
        <f t="shared" si="2"/>
        <v>0.15748056832609494</v>
      </c>
      <c r="E133" s="3">
        <v>0.11218056832609494</v>
      </c>
      <c r="F133" s="3">
        <v>0.27500000000000002</v>
      </c>
      <c r="G133" t="s">
        <v>44</v>
      </c>
      <c r="K133" s="118"/>
    </row>
    <row r="134" spans="1:11">
      <c r="A134" t="s">
        <v>179</v>
      </c>
      <c r="B134">
        <v>538.04045821699651</v>
      </c>
      <c r="C134" s="3">
        <v>0</v>
      </c>
      <c r="D134" s="3">
        <f t="shared" si="2"/>
        <v>4.53E-2</v>
      </c>
      <c r="E134" s="3">
        <v>0</v>
      </c>
      <c r="F134" s="3">
        <v>0.20599999999999999</v>
      </c>
      <c r="G134" t="s">
        <v>42</v>
      </c>
      <c r="K134" s="118"/>
    </row>
    <row r="135" spans="1:11">
      <c r="A135" t="s">
        <v>180</v>
      </c>
      <c r="B135">
        <v>678.88733684825183</v>
      </c>
      <c r="C135" s="3">
        <v>0</v>
      </c>
      <c r="D135" s="3">
        <f t="shared" si="2"/>
        <v>4.53E-2</v>
      </c>
      <c r="E135" s="3">
        <v>0</v>
      </c>
      <c r="F135" s="3">
        <v>0.18</v>
      </c>
      <c r="G135" t="s">
        <v>42</v>
      </c>
      <c r="K135" s="118"/>
    </row>
    <row r="136" spans="1:11">
      <c r="A136" t="s">
        <v>181</v>
      </c>
      <c r="B136">
        <v>970.9</v>
      </c>
      <c r="C136" s="3">
        <v>7.3341743119266058E-3</v>
      </c>
      <c r="D136" s="3">
        <f t="shared" si="2"/>
        <v>5.5645766699151611E-2</v>
      </c>
      <c r="E136" s="3">
        <v>1.0345766699151613E-2</v>
      </c>
      <c r="F136" s="3">
        <v>0.2</v>
      </c>
      <c r="G136" t="s">
        <v>57</v>
      </c>
      <c r="K136" s="118"/>
    </row>
    <row r="137" spans="1:11">
      <c r="A137" t="s">
        <v>182</v>
      </c>
      <c r="B137">
        <v>7.1457010187491958</v>
      </c>
      <c r="C137" s="3">
        <v>7.9525458715596339E-2</v>
      </c>
      <c r="D137" s="3">
        <f t="shared" si="2"/>
        <v>0.15748056832609494</v>
      </c>
      <c r="E137" s="3">
        <v>0.11218056832609494</v>
      </c>
      <c r="F137" s="3"/>
      <c r="G137" t="s">
        <v>40</v>
      </c>
      <c r="K137" s="118"/>
    </row>
    <row r="138" spans="1:11">
      <c r="A138" t="s">
        <v>609</v>
      </c>
      <c r="B138">
        <v>52.090320325473591</v>
      </c>
      <c r="C138" s="3">
        <v>6.7301834862385335E-2</v>
      </c>
      <c r="D138" s="3">
        <f t="shared" si="2"/>
        <v>0.14023762382750893</v>
      </c>
      <c r="E138" s="3">
        <v>9.4937623827508935E-2</v>
      </c>
      <c r="F138" s="3"/>
      <c r="G138" t="s">
        <v>44</v>
      </c>
      <c r="K138" s="118"/>
    </row>
    <row r="139" spans="1:11">
      <c r="A139" t="s">
        <v>183</v>
      </c>
      <c r="B139">
        <v>455.22092057112889</v>
      </c>
      <c r="C139" s="3">
        <v>1.9557798165137613E-2</v>
      </c>
      <c r="D139" s="3">
        <f t="shared" si="2"/>
        <v>7.2888711197737627E-2</v>
      </c>
      <c r="E139" s="3">
        <v>2.758871119773763E-2</v>
      </c>
      <c r="F139" s="3">
        <v>0.2</v>
      </c>
      <c r="G139" t="s">
        <v>57</v>
      </c>
      <c r="K139" s="118"/>
    </row>
    <row r="140" spans="1:11">
      <c r="A140" t="s">
        <v>184</v>
      </c>
      <c r="B140">
        <v>22.104775828460038</v>
      </c>
      <c r="C140" s="3">
        <v>3.6814678899082569E-2</v>
      </c>
      <c r="D140" s="3">
        <f t="shared" si="2"/>
        <v>9.7231691666329667E-2</v>
      </c>
      <c r="E140" s="3">
        <v>5.193169166632966E-2</v>
      </c>
      <c r="F140" s="3">
        <v>0.3</v>
      </c>
      <c r="G140" t="s">
        <v>49</v>
      </c>
      <c r="K140" s="118"/>
    </row>
    <row r="141" spans="1:11">
      <c r="A141" t="s">
        <v>185</v>
      </c>
      <c r="B141">
        <v>40.25667520872944</v>
      </c>
      <c r="C141" s="3">
        <v>9.1749082568807344E-2</v>
      </c>
      <c r="D141" s="3">
        <f t="shared" si="2"/>
        <v>0.17472351282468096</v>
      </c>
      <c r="E141" s="3">
        <v>0.12942351282468095</v>
      </c>
      <c r="F141" s="3">
        <v>0.15</v>
      </c>
      <c r="G141" t="s">
        <v>44</v>
      </c>
      <c r="K141" s="118"/>
    </row>
    <row r="142" spans="1:11">
      <c r="A142" t="s">
        <v>186</v>
      </c>
      <c r="B142">
        <v>851.10241111811627</v>
      </c>
      <c r="C142" s="3">
        <v>7.9525458715596339E-2</v>
      </c>
      <c r="D142" s="3">
        <f t="shared" si="2"/>
        <v>0.15748056832609494</v>
      </c>
      <c r="E142" s="3">
        <v>0.11218056832609494</v>
      </c>
      <c r="F142" s="3">
        <v>0.23</v>
      </c>
      <c r="G142" t="s">
        <v>42</v>
      </c>
      <c r="K142" s="118"/>
    </row>
    <row r="143" spans="1:11">
      <c r="A143" t="s">
        <v>592</v>
      </c>
      <c r="B143">
        <v>1.5</v>
      </c>
      <c r="C143" s="3">
        <v>1.9557798165137613E-2</v>
      </c>
      <c r="D143" s="3">
        <f t="shared" si="2"/>
        <v>7.2888711197737627E-2</v>
      </c>
      <c r="E143" s="3">
        <v>2.758871119773763E-2</v>
      </c>
      <c r="F143" s="3">
        <v>0</v>
      </c>
      <c r="G143" t="s">
        <v>49</v>
      </c>
      <c r="K143" s="118"/>
    </row>
    <row r="144" spans="1:11">
      <c r="A144" t="s">
        <v>189</v>
      </c>
      <c r="B144">
        <v>25.891058946193581</v>
      </c>
      <c r="C144" s="3">
        <v>6.7301834862385335E-2</v>
      </c>
      <c r="D144" s="3">
        <f t="shared" si="2"/>
        <v>0.14023762382750893</v>
      </c>
      <c r="E144" s="3">
        <v>9.4937623827508935E-2</v>
      </c>
      <c r="F144" s="3">
        <v>0.3</v>
      </c>
      <c r="G144" t="s">
        <v>44</v>
      </c>
      <c r="K144" s="118"/>
    </row>
    <row r="145" spans="1:11">
      <c r="A145" t="s">
        <v>190</v>
      </c>
      <c r="B145">
        <v>112.1541851214065</v>
      </c>
      <c r="C145" s="3">
        <v>0.12238004587155965</v>
      </c>
      <c r="D145" s="3">
        <f t="shared" si="2"/>
        <v>0.21793230315643183</v>
      </c>
      <c r="E145" s="3">
        <v>0.17263230315643183</v>
      </c>
      <c r="F145" s="3">
        <v>0.18</v>
      </c>
      <c r="G145" t="s">
        <v>40</v>
      </c>
      <c r="K145" s="118"/>
    </row>
    <row r="146" spans="1:11">
      <c r="A146" t="s">
        <v>191</v>
      </c>
      <c r="B146">
        <v>382.57508509189927</v>
      </c>
      <c r="C146" s="3">
        <v>6.0399082568807346E-3</v>
      </c>
      <c r="D146" s="3">
        <f t="shared" si="2"/>
        <v>5.3820043164007209E-2</v>
      </c>
      <c r="E146" s="3">
        <v>8.5200431640072103E-3</v>
      </c>
      <c r="F146" s="3">
        <v>0</v>
      </c>
      <c r="G146" t="s">
        <v>38</v>
      </c>
      <c r="K146" s="118"/>
    </row>
    <row r="147" spans="1:11">
      <c r="A147" t="s">
        <v>192</v>
      </c>
      <c r="B147">
        <v>2622.4339596041618</v>
      </c>
      <c r="C147" s="3">
        <v>7.3341743119266058E-3</v>
      </c>
      <c r="D147" s="3">
        <f t="shared" si="2"/>
        <v>5.5645766699151611E-2</v>
      </c>
      <c r="E147" s="3">
        <v>1.0345766699151613E-2</v>
      </c>
      <c r="F147" s="3">
        <v>0.25</v>
      </c>
      <c r="G147" t="s">
        <v>42</v>
      </c>
      <c r="K147" s="118"/>
    </row>
    <row r="148" spans="1:11">
      <c r="A148" t="s">
        <v>193</v>
      </c>
      <c r="B148">
        <v>19390.603999999999</v>
      </c>
      <c r="C148" s="3">
        <v>0</v>
      </c>
      <c r="D148" s="104">
        <v>4.53E-2</v>
      </c>
      <c r="E148" s="3">
        <v>0</v>
      </c>
      <c r="F148" s="3">
        <v>0.25</v>
      </c>
      <c r="G148" t="s">
        <v>73</v>
      </c>
    </row>
    <row r="149" spans="1:11">
      <c r="A149" t="s">
        <v>194</v>
      </c>
      <c r="B149">
        <v>56.15697215769584</v>
      </c>
      <c r="C149" s="3">
        <v>2.3296788990825688E-2</v>
      </c>
      <c r="D149" s="3">
        <f>$D$148+E149</f>
        <v>7.8163023632599235E-2</v>
      </c>
      <c r="E149" s="3">
        <v>3.2863023632599235E-2</v>
      </c>
      <c r="F149" s="3">
        <v>0.25</v>
      </c>
      <c r="G149" t="s">
        <v>46</v>
      </c>
    </row>
    <row r="150" spans="1:11">
      <c r="A150" t="s">
        <v>195</v>
      </c>
      <c r="B150">
        <v>250</v>
      </c>
      <c r="C150" s="67">
        <v>0.17499999999999999</v>
      </c>
      <c r="D150" s="3">
        <f t="shared" ref="D150:D152" si="3">$D$148+E150</f>
        <v>0.29215930485826308</v>
      </c>
      <c r="E150" s="67">
        <v>0.2468593048582631</v>
      </c>
      <c r="F150">
        <v>0.34</v>
      </c>
      <c r="G150" t="s">
        <v>46</v>
      </c>
    </row>
    <row r="151" spans="1:11">
      <c r="A151" t="s">
        <v>196</v>
      </c>
      <c r="B151">
        <v>223.86399635465543</v>
      </c>
      <c r="C151" s="67">
        <v>3.6814678899082569E-2</v>
      </c>
      <c r="D151" s="3">
        <f t="shared" si="3"/>
        <v>9.7231691666329667E-2</v>
      </c>
      <c r="E151" s="67">
        <v>5.193169166632966E-2</v>
      </c>
      <c r="F151">
        <v>0.2</v>
      </c>
      <c r="G151" t="s">
        <v>57</v>
      </c>
    </row>
    <row r="152" spans="1:11">
      <c r="A152" t="s">
        <v>197</v>
      </c>
      <c r="B152">
        <v>25.808666421555753</v>
      </c>
      <c r="C152" s="67">
        <v>0.14682729357798166</v>
      </c>
      <c r="D152" s="3">
        <f t="shared" si="3"/>
        <v>0.25241819215360384</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0.15237530436670971</v>
      </c>
      <c r="C156" s="33">
        <v>0.1070753043667097</v>
      </c>
      <c r="D156" s="33">
        <v>7.590630733944953E-2</v>
      </c>
      <c r="E156" s="33">
        <v>0.26380999999999999</v>
      </c>
      <c r="G156" s="142" t="s">
        <v>672</v>
      </c>
      <c r="H156" s="143"/>
    </row>
    <row r="157" spans="1:11">
      <c r="A157" s="32" t="s">
        <v>57</v>
      </c>
      <c r="B157" s="33">
        <f t="shared" ref="B157:B162" si="4">$B$163+C157</f>
        <v>0.10954430062797985</v>
      </c>
      <c r="C157" s="33">
        <v>6.4244300627979839E-2</v>
      </c>
      <c r="D157" s="33">
        <v>4.5543159154367775E-2</v>
      </c>
      <c r="E157" s="33">
        <v>0.23766521739130436</v>
      </c>
      <c r="G157" s="144"/>
      <c r="H157" s="145"/>
    </row>
    <row r="158" spans="1:11">
      <c r="A158" s="32" t="s">
        <v>51</v>
      </c>
      <c r="B158" s="33">
        <f t="shared" si="4"/>
        <v>7.1198226442974299E-2</v>
      </c>
      <c r="C158" s="33">
        <v>2.5898226442974296E-2</v>
      </c>
      <c r="D158" s="33">
        <v>1.8359403669724769E-2</v>
      </c>
      <c r="E158" s="33">
        <v>0.28810000000000002</v>
      </c>
      <c r="G158" s="146"/>
      <c r="H158" s="147"/>
    </row>
    <row r="159" spans="1:11">
      <c r="A159" s="32" t="s">
        <v>49</v>
      </c>
      <c r="B159" s="33">
        <f t="shared" si="4"/>
        <v>0.11269238223775088</v>
      </c>
      <c r="C159" s="33">
        <v>6.7392382237750889E-2</v>
      </c>
      <c r="D159" s="33">
        <v>4.7774852555701179E-2</v>
      </c>
      <c r="E159" s="33">
        <v>0.17372857142857143</v>
      </c>
    </row>
    <row r="160" spans="1:11">
      <c r="A160" s="32" t="s">
        <v>46</v>
      </c>
      <c r="B160" s="33">
        <f t="shared" si="4"/>
        <v>0.14103737509411396</v>
      </c>
      <c r="C160" s="33">
        <v>9.5737375094113952E-2</v>
      </c>
      <c r="D160" s="33">
        <v>6.7868783196523425E-2</v>
      </c>
      <c r="E160" s="33">
        <v>0.28298947368421046</v>
      </c>
    </row>
    <row r="161" spans="1:5">
      <c r="A161" s="32" t="s">
        <v>40</v>
      </c>
      <c r="B161" s="33">
        <f t="shared" si="4"/>
        <v>0.10952339414985329</v>
      </c>
      <c r="C161" s="33">
        <v>6.42233941498533E-2</v>
      </c>
      <c r="D161" s="33">
        <v>4.5528338430173294E-2</v>
      </c>
      <c r="E161" s="33">
        <v>0.16111111111111109</v>
      </c>
    </row>
    <row r="162" spans="1:5">
      <c r="A162" s="32" t="s">
        <v>38</v>
      </c>
      <c r="B162" s="33">
        <f t="shared" si="4"/>
        <v>0.1021300283457226</v>
      </c>
      <c r="C162" s="33">
        <v>5.6830028345722601E-2</v>
      </c>
      <c r="D162" s="33">
        <v>4.0287138320395204E-2</v>
      </c>
      <c r="E162" s="33">
        <v>0.11538461538461539</v>
      </c>
    </row>
    <row r="163" spans="1:5">
      <c r="A163" s="32" t="s">
        <v>73</v>
      </c>
      <c r="B163" s="105">
        <f>D148</f>
        <v>4.53E-2</v>
      </c>
      <c r="C163" s="33">
        <v>0</v>
      </c>
      <c r="D163" s="33">
        <v>0</v>
      </c>
      <c r="E163" s="33">
        <v>0.25</v>
      </c>
    </row>
    <row r="164" spans="1:5">
      <c r="A164" s="32" t="s">
        <v>42</v>
      </c>
      <c r="B164" s="33">
        <f>$B$163+C164</f>
        <v>6.235569080267378E-2</v>
      </c>
      <c r="C164" s="33">
        <v>1.7055690802673776E-2</v>
      </c>
      <c r="D164" s="33">
        <v>1.2090878616796049E-2</v>
      </c>
      <c r="E164" s="33">
        <v>0.19570000000000004</v>
      </c>
    </row>
    <row r="165" spans="1:5">
      <c r="A165" s="32" t="s">
        <v>597</v>
      </c>
      <c r="B165" s="33">
        <f>$B$163+C165</f>
        <v>0.11183723677898319</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B4" sqref="B4"/>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5375.6</v>
      </c>
      <c r="C2" s="63">
        <v>3939.6</v>
      </c>
      <c r="D2" s="63">
        <v>4339.8999999999996</v>
      </c>
      <c r="E2" s="64">
        <f>B2-C2+D2</f>
        <v>5775.9</v>
      </c>
    </row>
    <row r="3" spans="1:5">
      <c r="A3" s="62" t="s">
        <v>604</v>
      </c>
      <c r="B3" s="63">
        <v>110</v>
      </c>
      <c r="C3" s="63">
        <v>80.900000000000006</v>
      </c>
      <c r="D3" s="63">
        <v>87.2</v>
      </c>
      <c r="E3" s="64">
        <f>B3-C3+D3</f>
        <v>116.3</v>
      </c>
    </row>
    <row r="4" spans="1:5">
      <c r="A4" s="62" t="s">
        <v>6</v>
      </c>
      <c r="B4" s="63">
        <v>597.79999999999995</v>
      </c>
      <c r="C4" s="63">
        <v>796.2</v>
      </c>
      <c r="D4" s="63">
        <v>841.3</v>
      </c>
      <c r="E4" s="64">
        <f>B4-C4+D4</f>
        <v>642.89999999999986</v>
      </c>
    </row>
    <row r="5" spans="1:5">
      <c r="A5" s="62" t="s">
        <v>605</v>
      </c>
      <c r="B5" s="63">
        <v>89.6</v>
      </c>
      <c r="C5" s="63">
        <v>59.6</v>
      </c>
      <c r="D5" s="63">
        <v>83.9</v>
      </c>
      <c r="E5" s="64">
        <f>B5-C5+D5</f>
        <v>113.9</v>
      </c>
    </row>
    <row r="6" spans="1:5">
      <c r="E6" s="64"/>
    </row>
    <row r="7" spans="1:5">
      <c r="A7" s="106" t="s">
        <v>670</v>
      </c>
      <c r="B7" s="107">
        <v>122.4</v>
      </c>
      <c r="C7" s="107">
        <v>88.1</v>
      </c>
      <c r="D7" s="107">
        <v>93.3</v>
      </c>
      <c r="E7" s="64">
        <f>B7-C7+D7</f>
        <v>127.60000000000001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election activeCell="C4" sqref="C4"/>
    </sheetView>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0.06</v>
      </c>
      <c r="D2" s="46">
        <f>C2</f>
        <v>0.06</v>
      </c>
      <c r="E2" s="46">
        <f>'Input Sheet'!C23</f>
        <v>0.05</v>
      </c>
      <c r="F2" s="46">
        <f>E2</f>
        <v>0.05</v>
      </c>
      <c r="G2" s="46">
        <f>F2</f>
        <v>0.05</v>
      </c>
      <c r="H2" s="46">
        <f>G2-((G2-'Input Sheet'!B27)/5)</f>
        <v>4.7800000000000002E-2</v>
      </c>
      <c r="I2" s="46">
        <f>G2-((G2-'Input Sheet'!B27)/5)*2</f>
        <v>4.5600000000000002E-2</v>
      </c>
      <c r="J2" s="46">
        <f>G2-((G2-'Input Sheet'!B27)/5)*3</f>
        <v>4.3400000000000001E-2</v>
      </c>
      <c r="K2" s="46">
        <f>G2-((G2-'Input Sheet'!B27)/5)*4</f>
        <v>4.1200000000000001E-2</v>
      </c>
      <c r="L2" s="46">
        <f>G2-((G2-'Input Sheet'!B27)/5)*5</f>
        <v>3.9E-2</v>
      </c>
      <c r="M2" s="46">
        <f>L2</f>
        <v>3.9E-2</v>
      </c>
    </row>
    <row r="3" spans="1:14">
      <c r="A3" t="s">
        <v>5</v>
      </c>
      <c r="B3" s="45">
        <f>'Input Sheet'!B8</f>
        <v>5775.9</v>
      </c>
      <c r="C3" s="45">
        <f>B3*(1+C2)</f>
        <v>6122.4539999999997</v>
      </c>
      <c r="D3" s="45">
        <f t="shared" ref="D3:L3" si="0">C3*(1+D2)</f>
        <v>6489.8012399999998</v>
      </c>
      <c r="E3" s="45">
        <f t="shared" si="0"/>
        <v>6814.2913019999996</v>
      </c>
      <c r="F3" s="45">
        <f t="shared" si="0"/>
        <v>7155.0058670999997</v>
      </c>
      <c r="G3" s="45">
        <f t="shared" si="0"/>
        <v>7512.7561604550001</v>
      </c>
      <c r="H3" s="45">
        <f t="shared" si="0"/>
        <v>7871.8659049247499</v>
      </c>
      <c r="I3" s="45">
        <f t="shared" si="0"/>
        <v>8230.8229901893192</v>
      </c>
      <c r="J3" s="45">
        <f t="shared" si="0"/>
        <v>8588.040707963537</v>
      </c>
      <c r="K3" s="45">
        <f t="shared" si="0"/>
        <v>8941.8679851316338</v>
      </c>
      <c r="L3" s="45">
        <f t="shared" si="0"/>
        <v>9290.6008365517664</v>
      </c>
      <c r="M3" s="102">
        <f>L3*(1+M2)</f>
        <v>9652.9342691772854</v>
      </c>
    </row>
    <row r="4" spans="1:14">
      <c r="A4" t="s">
        <v>350</v>
      </c>
      <c r="B4" s="46">
        <f>B5/B3</f>
        <v>0.13490538271091954</v>
      </c>
      <c r="C4" s="46">
        <f>'Input Sheet'!$B$24-(('Input Sheet'!$B$24-$B$4)/10)*(10-C1)</f>
        <v>0.13941484443982757</v>
      </c>
      <c r="D4" s="46">
        <f>'Input Sheet'!$B$24-(('Input Sheet'!$B$24-$B$4)/10)*(10-D1)</f>
        <v>0.14392430616873564</v>
      </c>
      <c r="E4" s="46">
        <f>'Input Sheet'!$B$24-(('Input Sheet'!$B$24-$B$4)/10)*(10-E1)</f>
        <v>0.14843376789764368</v>
      </c>
      <c r="F4" s="46">
        <f>'Input Sheet'!$B$24-(('Input Sheet'!$B$24-$B$4)/10)*(10-F1)</f>
        <v>0.15294322962655171</v>
      </c>
      <c r="G4" s="46">
        <f>'Input Sheet'!$B$24-(('Input Sheet'!$B$24-$B$4)/10)*(10-G1)</f>
        <v>0.15745269135545975</v>
      </c>
      <c r="H4" s="46">
        <f>'Input Sheet'!$B$24-(('Input Sheet'!$B$24-$B$4)/10)*(10-H1)</f>
        <v>0.16196215308436782</v>
      </c>
      <c r="I4" s="46">
        <f>'Input Sheet'!$B$24-(('Input Sheet'!$B$24-$B$4)/10)*(10-I1)</f>
        <v>0.16647161481327585</v>
      </c>
      <c r="J4" s="46">
        <f>'Input Sheet'!$B$24-(('Input Sheet'!$B$24-$B$4)/10)*(10-J1)</f>
        <v>0.17098107654218389</v>
      </c>
      <c r="K4" s="46">
        <f>'Input Sheet'!$B$24-(('Input Sheet'!$B$24-$B$4)/10)*(10-K1)</f>
        <v>0.17549053827109196</v>
      </c>
      <c r="L4" s="46">
        <f>'Input Sheet'!$B$24-(('Input Sheet'!$B$24-$B$4)/10)*(10-L1)</f>
        <v>0.18</v>
      </c>
      <c r="M4" s="46">
        <f>L4</f>
        <v>0.18</v>
      </c>
    </row>
    <row r="5" spans="1:14">
      <c r="A5" t="s">
        <v>351</v>
      </c>
      <c r="B5" s="60">
        <f>IF('Input Sheet'!B14="Yes",IF('Input Sheet'!B13="Yes",'Input Sheet'!B9+'Operating lease converter'!F32+'R&amp; D converter'!D39,'Input Sheet'!B9+'Operating lease converter'!F32),IF('Input Sheet'!B13="Yes",'Input Sheet'!B9+'R&amp; D converter'!D39,'Input Sheet'!B9))</f>
        <v>779.2</v>
      </c>
      <c r="C5" s="60">
        <f t="shared" ref="C5:M5" si="1">C4*C3</f>
        <v>853.56097199999999</v>
      </c>
      <c r="D5" s="60">
        <f t="shared" si="1"/>
        <v>934.04014064000012</v>
      </c>
      <c r="E5" s="60">
        <f t="shared" si="1"/>
        <v>1011.470933508</v>
      </c>
      <c r="F5" s="60">
        <f t="shared" si="1"/>
        <v>1094.3097053112001</v>
      </c>
      <c r="G5" s="60">
        <f t="shared" si="1"/>
        <v>1182.90367696095</v>
      </c>
      <c r="H5" s="60">
        <f t="shared" si="1"/>
        <v>1274.944350753038</v>
      </c>
      <c r="I5" s="60">
        <f t="shared" si="1"/>
        <v>1370.1983944190517</v>
      </c>
      <c r="J5" s="60">
        <f t="shared" si="1"/>
        <v>1468.3924456357047</v>
      </c>
      <c r="K5" s="60">
        <f t="shared" si="1"/>
        <v>1569.2132258597949</v>
      </c>
      <c r="L5" s="60">
        <f t="shared" si="1"/>
        <v>1672.308150579318</v>
      </c>
      <c r="M5" s="60">
        <f t="shared" si="1"/>
        <v>1737.5281684519114</v>
      </c>
      <c r="N5" s="103">
        <f>M5-B5</f>
        <v>958.32816845191132</v>
      </c>
    </row>
    <row r="6" spans="1:14">
      <c r="A6" t="s">
        <v>352</v>
      </c>
      <c r="B6" s="46">
        <f>'Input Sheet'!B20</f>
        <v>0.22053872053872053</v>
      </c>
      <c r="C6" s="46">
        <f>B6</f>
        <v>0.22053872053872053</v>
      </c>
      <c r="D6" s="46">
        <f>C6</f>
        <v>0.22053872053872053</v>
      </c>
      <c r="E6" s="46">
        <f>D6</f>
        <v>0.22053872053872053</v>
      </c>
      <c r="F6" s="46">
        <f>E6</f>
        <v>0.22053872053872053</v>
      </c>
      <c r="G6" s="46">
        <f>F6</f>
        <v>0.22053872053872053</v>
      </c>
      <c r="H6" s="46">
        <f>G6+($M$6-$G$6)/5</f>
        <v>0.22643097643097643</v>
      </c>
      <c r="I6" s="46">
        <f>H6+($M$6-$G$6)/5</f>
        <v>0.23232323232323232</v>
      </c>
      <c r="J6" s="46">
        <f>I6+($M$6-$G$6)/5</f>
        <v>0.23821548821548821</v>
      </c>
      <c r="K6" s="46">
        <f>J6+($M$6-$G$6)/5</f>
        <v>0.24410774410774411</v>
      </c>
      <c r="L6" s="46">
        <f>K6+($M$6-$G$6)/5</f>
        <v>0.25</v>
      </c>
      <c r="M6" s="46">
        <f>IF('Input Sheet'!B49="Yes",'Input Sheet'!B20,'Input Sheet'!B21)</f>
        <v>0.25</v>
      </c>
    </row>
    <row r="7" spans="1:14">
      <c r="A7" t="s">
        <v>353</v>
      </c>
      <c r="B7" s="45">
        <f>IF(B5&gt;0,B5*(1-B6),B5)</f>
        <v>607.35622895622896</v>
      </c>
      <c r="C7" s="45">
        <f>IF(C5&gt;0,IF(C5&lt;B10,C5,C5-(C5-B10)*C6),C5)</f>
        <v>665.31772733333332</v>
      </c>
      <c r="D7" s="45">
        <f t="shared" ref="D7:L7" si="2">IF(D5&gt;0,IF(D5&lt;C10,D5,D5-(D5-C10)*D6),D5)</f>
        <v>728.04812309144791</v>
      </c>
      <c r="E7" s="45">
        <f t="shared" si="2"/>
        <v>788.40242797004043</v>
      </c>
      <c r="F7" s="45">
        <f t="shared" si="2"/>
        <v>852.97204302876366</v>
      </c>
      <c r="G7" s="45">
        <f t="shared" si="2"/>
        <v>922.02761352343407</v>
      </c>
      <c r="H7" s="45">
        <f t="shared" si="2"/>
        <v>986.25745651687021</v>
      </c>
      <c r="I7" s="45">
        <f t="shared" si="2"/>
        <v>1051.8694745035145</v>
      </c>
      <c r="J7" s="45">
        <f t="shared" si="2"/>
        <v>1118.5986223066607</v>
      </c>
      <c r="K7" s="45">
        <f t="shared" si="2"/>
        <v>1186.1561252711244</v>
      </c>
      <c r="L7" s="45">
        <f t="shared" si="2"/>
        <v>1254.2311129344885</v>
      </c>
      <c r="M7" s="45">
        <f>M5*(1-M6)</f>
        <v>1303.1461263389335</v>
      </c>
    </row>
    <row r="8" spans="1:14">
      <c r="A8" t="s">
        <v>354</v>
      </c>
      <c r="B8" s="41"/>
      <c r="C8" s="45">
        <f t="shared" ref="C8:L8" si="3">(C3-B3)/C38</f>
        <v>173.27700000000004</v>
      </c>
      <c r="D8" s="45">
        <f t="shared" si="3"/>
        <v>183.67362000000003</v>
      </c>
      <c r="E8" s="45">
        <f t="shared" si="3"/>
        <v>129.79602479999994</v>
      </c>
      <c r="F8" s="45">
        <f t="shared" si="3"/>
        <v>136.28582604000002</v>
      </c>
      <c r="G8" s="45">
        <f t="shared" si="3"/>
        <v>143.10011734200015</v>
      </c>
      <c r="H8" s="45">
        <f t="shared" si="3"/>
        <v>143.6438977878999</v>
      </c>
      <c r="I8" s="45">
        <f t="shared" si="3"/>
        <v>143.58283410582771</v>
      </c>
      <c r="J8" s="45">
        <f t="shared" si="3"/>
        <v>142.88708710968712</v>
      </c>
      <c r="K8" s="45">
        <f t="shared" si="3"/>
        <v>141.5309108672387</v>
      </c>
      <c r="L8" s="45">
        <f t="shared" si="3"/>
        <v>139.49314056805306</v>
      </c>
      <c r="M8" s="45">
        <f>(M2/M40)*M7</f>
        <v>605.03213008593332</v>
      </c>
      <c r="N8" s="103">
        <f>SUM(C8:M8)</f>
        <v>2082.3025887066401</v>
      </c>
    </row>
    <row r="9" spans="1:14">
      <c r="A9" t="s">
        <v>355</v>
      </c>
      <c r="B9" s="41"/>
      <c r="C9" s="45">
        <f t="shared" ref="C9:L9" si="4">C7-C8</f>
        <v>492.04072733333328</v>
      </c>
      <c r="D9" s="45">
        <f t="shared" si="4"/>
        <v>544.37450309144788</v>
      </c>
      <c r="E9" s="45">
        <f t="shared" si="4"/>
        <v>658.60640317004049</v>
      </c>
      <c r="F9" s="45">
        <f t="shared" si="4"/>
        <v>716.68621698876359</v>
      </c>
      <c r="G9" s="45">
        <f t="shared" si="4"/>
        <v>778.92749618143398</v>
      </c>
      <c r="H9" s="45">
        <f t="shared" si="4"/>
        <v>842.61355872897025</v>
      </c>
      <c r="I9" s="45">
        <f t="shared" si="4"/>
        <v>908.28664039768682</v>
      </c>
      <c r="J9" s="45">
        <f t="shared" si="4"/>
        <v>975.7115351969735</v>
      </c>
      <c r="K9" s="45">
        <f t="shared" si="4"/>
        <v>1044.6252144038858</v>
      </c>
      <c r="L9" s="45">
        <f t="shared" si="4"/>
        <v>1114.7379723664353</v>
      </c>
      <c r="M9" s="45">
        <f>M7-M8</f>
        <v>698.11399625300021</v>
      </c>
    </row>
    <row r="10" spans="1:14">
      <c r="A10" t="s">
        <v>356</v>
      </c>
      <c r="B10" s="45">
        <f>IF('Input Sheet'!B51="Yes",'Input Sheet'!B52,0)</f>
        <v>0</v>
      </c>
      <c r="C10" s="45">
        <f t="shared" ref="C10:M10" si="5">IF(C5&lt;0,B10-C5,IF(B10&gt;C5,B10-C5,0))</f>
        <v>0</v>
      </c>
      <c r="D10" s="45">
        <f t="shared" si="5"/>
        <v>0</v>
      </c>
      <c r="E10" s="45">
        <f t="shared" si="5"/>
        <v>0</v>
      </c>
      <c r="F10" s="45">
        <f t="shared" si="5"/>
        <v>0</v>
      </c>
      <c r="G10" s="45">
        <f t="shared" si="5"/>
        <v>0</v>
      </c>
      <c r="H10" s="45">
        <f t="shared" si="5"/>
        <v>0</v>
      </c>
      <c r="I10" s="45">
        <f t="shared" si="5"/>
        <v>0</v>
      </c>
      <c r="J10" s="45">
        <f t="shared" si="5"/>
        <v>0</v>
      </c>
      <c r="K10" s="45">
        <f t="shared" si="5"/>
        <v>0</v>
      </c>
      <c r="L10" s="45">
        <f t="shared" si="5"/>
        <v>0</v>
      </c>
      <c r="M10" s="45">
        <f t="shared" si="5"/>
        <v>0</v>
      </c>
    </row>
    <row r="12" spans="1:14">
      <c r="A12" t="s">
        <v>357</v>
      </c>
      <c r="C12" s="46">
        <f>'Input Sheet'!B28</f>
        <v>8.9801988940447941E-2</v>
      </c>
      <c r="D12" s="46">
        <f>C12</f>
        <v>8.9801988940447941E-2</v>
      </c>
      <c r="E12" s="46">
        <f>D12</f>
        <v>8.9801988940447941E-2</v>
      </c>
      <c r="F12" s="46">
        <f>E12</f>
        <v>8.9801988940447941E-2</v>
      </c>
      <c r="G12" s="46">
        <f>F12</f>
        <v>8.9801988940447941E-2</v>
      </c>
      <c r="H12" s="46">
        <f>G12-($G$12-$M$12)/5</f>
        <v>8.8641591152358354E-2</v>
      </c>
      <c r="I12" s="46">
        <f>H12-($G$12-$M$12)/5</f>
        <v>8.7481193364268767E-2</v>
      </c>
      <c r="J12" s="46">
        <f>I12-($G$12-$M$12)/5</f>
        <v>8.632079557617918E-2</v>
      </c>
      <c r="K12" s="46">
        <f>J12-($G$12-$M$12)/5</f>
        <v>8.5160397788089592E-2</v>
      </c>
      <c r="L12" s="46">
        <f>K12-($G$12-$M$12)/5</f>
        <v>8.4000000000000005E-2</v>
      </c>
      <c r="M12" s="46">
        <f>IF('Input Sheet'!B38="Yes",'Input Sheet'!B39,'Input Sheet'!B27+0.045)</f>
        <v>8.3999999999999991E-2</v>
      </c>
    </row>
    <row r="13" spans="1:14">
      <c r="A13" t="s">
        <v>358</v>
      </c>
      <c r="C13" s="49">
        <f>1/(1+C12)</f>
        <v>0.91759788488938498</v>
      </c>
      <c r="D13" s="49">
        <f>C13*(1/(1+D12))</f>
        <v>0.84198587835347305</v>
      </c>
      <c r="E13" s="49">
        <f t="shared" ref="E13:L13" si="6">D13*(1/(1+E12))</f>
        <v>0.77260446108387792</v>
      </c>
      <c r="F13" s="49">
        <f t="shared" si="6"/>
        <v>0.70894021934666951</v>
      </c>
      <c r="G13" s="49">
        <f t="shared" si="6"/>
        <v>0.65052204578552064</v>
      </c>
      <c r="H13" s="49">
        <f t="shared" si="6"/>
        <v>0.59755391588238371</v>
      </c>
      <c r="I13" s="49">
        <f t="shared" si="6"/>
        <v>0.54948436766411624</v>
      </c>
      <c r="J13" s="49">
        <f t="shared" si="6"/>
        <v>0.50582145707030535</v>
      </c>
      <c r="K13" s="49">
        <f t="shared" si="6"/>
        <v>0.46612598294347474</v>
      </c>
      <c r="L13" s="49">
        <f t="shared" si="6"/>
        <v>0.43000551932054865</v>
      </c>
    </row>
    <row r="14" spans="1:14">
      <c r="A14" t="s">
        <v>359</v>
      </c>
      <c r="C14" s="45">
        <f t="shared" ref="C14:L14" si="7">C9*C13</f>
        <v>451.49553068050119</v>
      </c>
      <c r="D14" s="45">
        <f t="shared" si="7"/>
        <v>458.35564413868815</v>
      </c>
      <c r="E14" s="45">
        <f t="shared" si="7"/>
        <v>508.84224518758037</v>
      </c>
      <c r="F14" s="45">
        <f t="shared" si="7"/>
        <v>508.08768387474885</v>
      </c>
      <c r="G14" s="45">
        <f t="shared" si="7"/>
        <v>506.70950833453975</v>
      </c>
      <c r="H14" s="45">
        <f t="shared" si="7"/>
        <v>503.5070315940871</v>
      </c>
      <c r="I14" s="45">
        <f t="shared" si="7"/>
        <v>499.0893102566875</v>
      </c>
      <c r="J14" s="45">
        <f t="shared" si="7"/>
        <v>493.53583041363765</v>
      </c>
      <c r="K14" s="45">
        <f t="shared" si="7"/>
        <v>486.9269548715493</v>
      </c>
      <c r="L14" s="45">
        <f t="shared" si="7"/>
        <v>479.34348071376445</v>
      </c>
    </row>
    <row r="16" spans="1:14">
      <c r="A16" s="8" t="s">
        <v>360</v>
      </c>
      <c r="B16" s="45">
        <f>M9</f>
        <v>698.11399625300021</v>
      </c>
    </row>
    <row r="17" spans="1:2">
      <c r="A17" t="s">
        <v>361</v>
      </c>
      <c r="B17" s="46">
        <f>M12</f>
        <v>8.3999999999999991E-2</v>
      </c>
    </row>
    <row r="18" spans="1:2">
      <c r="A18" t="s">
        <v>362</v>
      </c>
      <c r="B18" s="45">
        <f>B16/(B17-'Input Sheet'!B27)</f>
        <v>15513.644361177785</v>
      </c>
    </row>
    <row r="19" spans="1:2">
      <c r="A19" t="s">
        <v>363</v>
      </c>
      <c r="B19" s="45">
        <f>B18*L13</f>
        <v>6670.9527000825547</v>
      </c>
    </row>
    <row r="20" spans="1:2">
      <c r="A20" t="s">
        <v>364</v>
      </c>
      <c r="B20" s="45">
        <f>SUM(C14:L14)</f>
        <v>4895.8932200657846</v>
      </c>
    </row>
    <row r="21" spans="1:2">
      <c r="A21" t="s">
        <v>365</v>
      </c>
      <c r="B21" s="45">
        <f>B19+B20</f>
        <v>11566.845920148338</v>
      </c>
    </row>
    <row r="22" spans="1:2">
      <c r="A22" t="s">
        <v>366</v>
      </c>
      <c r="B22" s="46">
        <f>IF('Input Sheet'!B44="Yes",'Input Sheet'!B45,0)</f>
        <v>0</v>
      </c>
    </row>
    <row r="23" spans="1:2">
      <c r="A23" t="s">
        <v>367</v>
      </c>
      <c r="B23" s="45">
        <f>IF('Input Sheet'!B46="B",('Input Sheet'!B11+'Input Sheet'!B12)*'Input Sheet'!B47,'Valuation Output'!B21*'Input Sheet'!B47)</f>
        <v>3310.4</v>
      </c>
    </row>
    <row r="24" spans="1:2">
      <c r="A24" t="s">
        <v>368</v>
      </c>
      <c r="B24" s="45">
        <f>B21*(1-B22)+B23*B22</f>
        <v>11566.845920148338</v>
      </c>
    </row>
    <row r="25" spans="1:2">
      <c r="A25" t="s">
        <v>369</v>
      </c>
      <c r="B25" s="45">
        <f>IF('Input Sheet'!B14="Yes",'Input Sheet'!B12+'Operating lease converter'!C28,'Input Sheet'!B12)+'Input Sheet'!F16</f>
        <v>2570.3000000000002</v>
      </c>
    </row>
    <row r="26" spans="1:2">
      <c r="A26" t="s">
        <v>370</v>
      </c>
      <c r="B26" s="45">
        <f>'Input Sheet'!B17</f>
        <v>0</v>
      </c>
    </row>
    <row r="27" spans="1:2">
      <c r="A27" t="s">
        <v>371</v>
      </c>
      <c r="B27" s="45">
        <f>IF('Input Sheet'!B54="YES",'Input Sheet'!B15-'Input Sheet'!B55*('Input Sheet'!B21-'Input Sheet'!B56),'Input Sheet'!B15)</f>
        <v>573.29999999999995</v>
      </c>
    </row>
    <row r="28" spans="1:2">
      <c r="A28" t="s">
        <v>372</v>
      </c>
      <c r="B28" s="45">
        <f>'Input Sheet'!B16</f>
        <v>13.6</v>
      </c>
    </row>
    <row r="29" spans="1:2">
      <c r="A29" t="s">
        <v>373</v>
      </c>
      <c r="B29" s="45">
        <f>B24-B25-B26+B27+B28</f>
        <v>9583.4459201483387</v>
      </c>
    </row>
    <row r="30" spans="1:2">
      <c r="A30" t="s">
        <v>374</v>
      </c>
      <c r="B30" s="45">
        <f>IF('Input Sheet'!B30="No",0,'Option value'!D27)</f>
        <v>0</v>
      </c>
    </row>
    <row r="31" spans="1:2">
      <c r="A31" t="s">
        <v>375</v>
      </c>
      <c r="B31" s="45">
        <f>B29-B30</f>
        <v>9583.4459201483387</v>
      </c>
    </row>
    <row r="32" spans="1:2">
      <c r="A32" t="s">
        <v>376</v>
      </c>
      <c r="B32" s="48">
        <f>'Input Sheet'!B18</f>
        <v>246.38</v>
      </c>
    </row>
    <row r="33" spans="1:13">
      <c r="A33" t="s">
        <v>377</v>
      </c>
      <c r="B33" s="50">
        <f>B31/B32</f>
        <v>38.897012420441349</v>
      </c>
    </row>
    <row r="34" spans="1:13">
      <c r="A34" t="s">
        <v>378</v>
      </c>
      <c r="B34" s="45">
        <f>'Input Sheet'!B19</f>
        <v>93.5</v>
      </c>
    </row>
    <row r="35" spans="1:13">
      <c r="A35" s="11" t="s">
        <v>379</v>
      </c>
      <c r="B35" s="47">
        <f>B34/B33</f>
        <v>2.403783585982131</v>
      </c>
      <c r="D35" s="57">
        <f>(B33-B34)/B34</f>
        <v>-0.58398917197388933</v>
      </c>
      <c r="E35" t="str">
        <f>IF(D35&gt;0,"upside","downside")</f>
        <v>downside</v>
      </c>
    </row>
    <row r="37" spans="1:13">
      <c r="A37" s="8" t="s">
        <v>380</v>
      </c>
      <c r="B37" s="8"/>
      <c r="M37" t="s">
        <v>598</v>
      </c>
    </row>
    <row r="38" spans="1:13">
      <c r="A38" t="s">
        <v>381</v>
      </c>
      <c r="C38" s="48">
        <f>'Input Sheet'!B25</f>
        <v>2</v>
      </c>
      <c r="D38" s="48">
        <f t="shared" ref="D38:L38" si="8">C38</f>
        <v>2</v>
      </c>
      <c r="E38" s="48">
        <f>'Input Sheet'!C25</f>
        <v>2.5</v>
      </c>
      <c r="F38" s="48">
        <f t="shared" si="8"/>
        <v>2.5</v>
      </c>
      <c r="G38" s="48">
        <f t="shared" si="8"/>
        <v>2.5</v>
      </c>
      <c r="H38" s="48">
        <f t="shared" si="8"/>
        <v>2.5</v>
      </c>
      <c r="I38" s="48">
        <f t="shared" si="8"/>
        <v>2.5</v>
      </c>
      <c r="J38" s="48">
        <f t="shared" si="8"/>
        <v>2.5</v>
      </c>
      <c r="K38" s="48">
        <f t="shared" si="8"/>
        <v>2.5</v>
      </c>
      <c r="L38" s="48">
        <f t="shared" si="8"/>
        <v>2.5</v>
      </c>
    </row>
    <row r="39" spans="1:13">
      <c r="A39" t="s">
        <v>382</v>
      </c>
      <c r="B39" s="6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6218.8</v>
      </c>
      <c r="C39" s="45">
        <f t="shared" ref="C39:L39" si="9">B39+C8</f>
        <v>6392.0770000000002</v>
      </c>
      <c r="D39" s="45">
        <f t="shared" si="9"/>
        <v>6575.7506200000007</v>
      </c>
      <c r="E39" s="45">
        <f t="shared" si="9"/>
        <v>6705.5466448000006</v>
      </c>
      <c r="F39" s="45">
        <f t="shared" si="9"/>
        <v>6841.8324708400005</v>
      </c>
      <c r="G39" s="45">
        <f t="shared" si="9"/>
        <v>6984.9325881820005</v>
      </c>
      <c r="H39" s="45">
        <f t="shared" si="9"/>
        <v>7128.5764859699002</v>
      </c>
      <c r="I39" s="45">
        <f t="shared" si="9"/>
        <v>7272.1593200757279</v>
      </c>
      <c r="J39" s="45">
        <f t="shared" si="9"/>
        <v>7415.0464071854149</v>
      </c>
      <c r="K39" s="45">
        <f t="shared" si="9"/>
        <v>7556.5773180526539</v>
      </c>
      <c r="L39" s="45">
        <f t="shared" si="9"/>
        <v>7696.0704586207066</v>
      </c>
    </row>
    <row r="40" spans="1:13">
      <c r="A40" t="s">
        <v>383</v>
      </c>
      <c r="B40" s="59">
        <f t="shared" ref="B40:L40" si="10">B7/B39</f>
        <v>9.7664538006726212E-2</v>
      </c>
      <c r="C40" s="59">
        <f t="shared" si="10"/>
        <v>0.10408474856190457</v>
      </c>
      <c r="D40" s="59">
        <f t="shared" si="10"/>
        <v>0.11071711279273663</v>
      </c>
      <c r="E40" s="59">
        <f t="shared" si="10"/>
        <v>0.11757466911089622</v>
      </c>
      <c r="F40" s="59">
        <f t="shared" si="10"/>
        <v>0.12467011530377924</v>
      </c>
      <c r="G40" s="59">
        <f t="shared" si="10"/>
        <v>0.13200236392881415</v>
      </c>
      <c r="H40" s="59">
        <f t="shared" si="10"/>
        <v>0.13835265125624613</v>
      </c>
      <c r="I40" s="59">
        <f t="shared" si="10"/>
        <v>0.14464334844805918</v>
      </c>
      <c r="J40" s="59">
        <f t="shared" si="10"/>
        <v>0.15085524228448566</v>
      </c>
      <c r="K40" s="59">
        <f t="shared" si="10"/>
        <v>0.15697002430417789</v>
      </c>
      <c r="L40" s="59">
        <f t="shared" si="10"/>
        <v>0.16297032617854598</v>
      </c>
      <c r="M40" s="59">
        <f>IF('Input Sheet'!B41="Yes",'Input Sheet'!B42,'Valuation Output'!L12)</f>
        <v>8.4000000000000005E-2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9" workbookViewId="0">
      <selection activeCell="K51" sqref="K51"/>
    </sheetView>
  </sheetViews>
  <sheetFormatPr defaultRowHeight="15"/>
  <cols>
    <col min="3" max="3" width="10.5703125" bestFit="1"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No</v>
      </c>
      <c r="T6" s="34" t="str">
        <f>IF(V7&gt;X7,"Yes","No")</f>
        <v>Yes</v>
      </c>
      <c r="V6" t="str">
        <f>'Input Sheet'!I21</f>
        <v>Company</v>
      </c>
      <c r="W6" t="str">
        <f>'Input Sheet'!J21</f>
        <v>Industry (US data)</v>
      </c>
      <c r="X6" t="str">
        <f>'Input Sheet'!K21</f>
        <v>Industry (Global data)</v>
      </c>
    </row>
    <row r="7" spans="16:24">
      <c r="Q7" t="str">
        <f>'Input Sheet'!E22</f>
        <v>Revenue growth in the most recent year =</v>
      </c>
      <c r="V7" s="3">
        <f>'Input Sheet'!I22</f>
        <v>0.10050062543957439</v>
      </c>
      <c r="W7" s="3">
        <f>'Input Sheet'!J22</f>
        <v>0.11551042553191491</v>
      </c>
      <c r="X7" s="3">
        <f>'Input Sheet'!K22</f>
        <v>6.8795195530726189E-2</v>
      </c>
    </row>
    <row r="9" spans="16:24">
      <c r="Q9" s="1" t="s">
        <v>632</v>
      </c>
      <c r="S9" s="34" t="str">
        <f>IF(V10&lt;W10,"Yes","No")</f>
        <v>Yes</v>
      </c>
      <c r="T9" s="34" t="str">
        <f>IF(V10&lt;X10,"Yes","No")</f>
        <v>Yes</v>
      </c>
    </row>
    <row r="10" spans="16:24">
      <c r="Q10" t="s">
        <v>633</v>
      </c>
      <c r="V10" s="3">
        <f>'Valuation Output'!M12</f>
        <v>8.3999999999999991E-2</v>
      </c>
      <c r="W10" s="3">
        <f>'Input Sheet'!J27</f>
        <v>9.889993040768906E-2</v>
      </c>
      <c r="X10" s="3">
        <f>'Input Sheet'!K27</f>
        <v>0.11214436749935422</v>
      </c>
    </row>
    <row r="12" spans="16:24">
      <c r="P12" s="83" t="s">
        <v>634</v>
      </c>
    </row>
    <row r="14" spans="16:24">
      <c r="Q14" s="1" t="s">
        <v>635</v>
      </c>
      <c r="S14" s="34" t="str">
        <f>IF(V15&lt;W15,"Yes","No")</f>
        <v>Yes</v>
      </c>
      <c r="T14" s="34" t="str">
        <f>IF(V15&lt;X15,"Yes","No")</f>
        <v>No</v>
      </c>
    </row>
    <row r="15" spans="16:24">
      <c r="Q15" t="str">
        <f>'Input Sheet'!A25</f>
        <v>Sales to capital ratio  (for computing reinvestment) =</v>
      </c>
      <c r="V15" s="65">
        <f>'Input Sheet'!B25</f>
        <v>2</v>
      </c>
      <c r="W15" s="65">
        <f>'Input Sheet'!J24</f>
        <v>2.1854467010901835</v>
      </c>
      <c r="X15" s="65">
        <f>'Input Sheet'!K24</f>
        <v>1.748546760596642</v>
      </c>
    </row>
    <row r="16" spans="16:24">
      <c r="P16" s="83" t="s">
        <v>638</v>
      </c>
    </row>
    <row r="17" spans="1:20">
      <c r="Q17" s="1" t="s">
        <v>636</v>
      </c>
      <c r="S17" s="34" t="str">
        <f>IF(V15&gt;W15,"Yes","No")</f>
        <v>No</v>
      </c>
      <c r="T17" s="34" t="str">
        <f>IF(V15&gt;X15,"Yes","No")</f>
        <v>Yes</v>
      </c>
    </row>
    <row r="18" spans="1:20">
      <c r="P18" s="83" t="s">
        <v>637</v>
      </c>
    </row>
    <row r="19" spans="1:20">
      <c r="P19" s="83" t="s">
        <v>648</v>
      </c>
    </row>
    <row r="20" spans="1:20">
      <c r="P20" s="83" t="s">
        <v>649</v>
      </c>
    </row>
    <row r="27" spans="1:20">
      <c r="A27" t="s">
        <v>618</v>
      </c>
      <c r="C27" s="79">
        <f>'Valuation Output'!M3</f>
        <v>9652.9342691772854</v>
      </c>
      <c r="E27" s="83" t="s">
        <v>621</v>
      </c>
    </row>
    <row r="28" spans="1:20">
      <c r="A28" t="s">
        <v>619</v>
      </c>
      <c r="C28" s="3">
        <f>'Valuation Output'!M2</f>
        <v>3.9E-2</v>
      </c>
      <c r="E28" s="83" t="s">
        <v>620</v>
      </c>
    </row>
    <row r="29" spans="1:20">
      <c r="A29" s="7" t="s">
        <v>623</v>
      </c>
      <c r="B29" s="8"/>
      <c r="C29" s="8"/>
      <c r="D29" s="8"/>
      <c r="E29" s="8"/>
      <c r="F29" s="8"/>
      <c r="G29" s="8"/>
      <c r="H29" s="8"/>
      <c r="I29" s="8"/>
      <c r="J29" s="8"/>
      <c r="K29" s="8"/>
      <c r="L29" s="9"/>
    </row>
    <row r="30" spans="1:20">
      <c r="A30" s="5"/>
      <c r="B30" s="80">
        <f>('Valuation Output'!C7-'Valuation Output'!B7)/'Valuation Output'!B7</f>
        <v>9.5432458932238173E-2</v>
      </c>
      <c r="C30" s="80">
        <f>('Valuation Output'!D7-'Valuation Output'!C7)/'Valuation Output'!C7</f>
        <v>9.4286373533957843E-2</v>
      </c>
      <c r="D30" s="80">
        <f>('Valuation Output'!E7-'Valuation Output'!D7)/'Valuation Output'!D7</f>
        <v>8.289878507249665E-2</v>
      </c>
      <c r="E30" s="80">
        <f>('Valuation Output'!F7-'Valuation Output'!E7)/'Valuation Output'!E7</f>
        <v>8.1899310260846764E-2</v>
      </c>
      <c r="F30" s="80">
        <f>('Valuation Output'!G7-'Valuation Output'!F7)/'Valuation Output'!F7</f>
        <v>8.0958773571834092E-2</v>
      </c>
      <c r="G30" s="80">
        <f>('Valuation Output'!H7-'Valuation Output'!G7)/'Valuation Output'!G7</f>
        <v>6.9661517780349735E-2</v>
      </c>
      <c r="H30" s="80">
        <f>('Valuation Output'!I7-'Valuation Output'!H7)/'Valuation Output'!H7</f>
        <v>6.6526257979700271E-2</v>
      </c>
      <c r="I30" s="80">
        <f>('Valuation Output'!J7-'Valuation Output'!I7)/'Valuation Output'!I7</f>
        <v>6.3438619924437376E-2</v>
      </c>
      <c r="J30" s="80">
        <f>('Valuation Output'!K7-'Valuation Output'!J7)/'Valuation Output'!J7</f>
        <v>6.0394766824541167E-2</v>
      </c>
      <c r="K30" s="80">
        <f>('Valuation Output'!L7-'Valuation Output'!K7)/'Valuation Output'!K7</f>
        <v>5.7391254163783753E-2</v>
      </c>
      <c r="L30" s="81">
        <f>('Valuation Output'!M7-'Valuation Output'!L7)/'Valuation Output'!L7</f>
        <v>3.9000000000000007E-2</v>
      </c>
      <c r="M30" s="67"/>
    </row>
    <row r="31" spans="1:20">
      <c r="A31" s="5" t="s">
        <v>622</v>
      </c>
      <c r="L31" s="10"/>
    </row>
    <row r="32" spans="1:20">
      <c r="A32" s="5"/>
      <c r="B32" s="3">
        <f>'Valuation Output'!C2</f>
        <v>0.06</v>
      </c>
      <c r="C32" s="3">
        <f>'Valuation Output'!D2</f>
        <v>0.06</v>
      </c>
      <c r="D32" s="3">
        <f>'Valuation Output'!E2</f>
        <v>0.05</v>
      </c>
      <c r="E32" s="3">
        <f>'Valuation Output'!F2</f>
        <v>0.05</v>
      </c>
      <c r="F32" s="3">
        <f>'Valuation Output'!G2</f>
        <v>0.05</v>
      </c>
      <c r="G32" s="3">
        <f>'Valuation Output'!H2</f>
        <v>4.7800000000000002E-2</v>
      </c>
      <c r="H32" s="3">
        <f>'Valuation Output'!I2</f>
        <v>4.5600000000000002E-2</v>
      </c>
      <c r="I32" s="3">
        <f>'Valuation Output'!J2</f>
        <v>4.3400000000000001E-2</v>
      </c>
      <c r="J32" s="3">
        <f>'Valuation Output'!K2</f>
        <v>4.1200000000000001E-2</v>
      </c>
      <c r="K32" s="3">
        <f>'Valuation Output'!L2</f>
        <v>3.9E-2</v>
      </c>
      <c r="L32" s="82">
        <f>'Valuation Output'!M2</f>
        <v>3.9E-2</v>
      </c>
    </row>
    <row r="33" spans="1:12">
      <c r="A33" s="5" t="s">
        <v>624</v>
      </c>
      <c r="L33" s="10"/>
    </row>
    <row r="34" spans="1:12">
      <c r="A34" s="5"/>
      <c r="B34" s="3">
        <f>B30-B32</f>
        <v>3.5432458932238176E-2</v>
      </c>
      <c r="C34" s="3">
        <f t="shared" ref="C34:L34" si="0">C30-C32</f>
        <v>3.4286373533957845E-2</v>
      </c>
      <c r="D34" s="3">
        <f t="shared" si="0"/>
        <v>3.2898785072496647E-2</v>
      </c>
      <c r="E34" s="3">
        <f t="shared" si="0"/>
        <v>3.1899310260846761E-2</v>
      </c>
      <c r="F34" s="3">
        <f t="shared" si="0"/>
        <v>3.0958773571834089E-2</v>
      </c>
      <c r="G34" s="3">
        <f t="shared" si="0"/>
        <v>2.1861517780349733E-2</v>
      </c>
      <c r="H34" s="3">
        <f t="shared" si="0"/>
        <v>2.0926257979700269E-2</v>
      </c>
      <c r="I34" s="3">
        <f t="shared" si="0"/>
        <v>2.0038619924437374E-2</v>
      </c>
      <c r="J34" s="3">
        <f t="shared" si="0"/>
        <v>1.9194766824541167E-2</v>
      </c>
      <c r="K34" s="3">
        <f t="shared" si="0"/>
        <v>1.8391254163783753E-2</v>
      </c>
      <c r="L34" s="82">
        <f t="shared" si="0"/>
        <v>0</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779.2</v>
      </c>
    </row>
    <row r="44" spans="1:12">
      <c r="I44" s="5" t="s">
        <v>653</v>
      </c>
      <c r="K44" s="10">
        <v>598</v>
      </c>
    </row>
    <row r="45" spans="1:12">
      <c r="A45" t="s">
        <v>639</v>
      </c>
      <c r="C45" s="79">
        <f>'Valuation Output'!B34</f>
        <v>93.5</v>
      </c>
      <c r="I45" s="5" t="s">
        <v>654</v>
      </c>
      <c r="K45" s="10">
        <v>1079</v>
      </c>
    </row>
    <row r="46" spans="1:12">
      <c r="A46" t="s">
        <v>513</v>
      </c>
      <c r="C46" s="79">
        <f>'Valuation Output'!B33</f>
        <v>38.897012420441349</v>
      </c>
      <c r="I46" s="5" t="s">
        <v>655</v>
      </c>
      <c r="K46" s="95">
        <f>AVERAGE(K43:K45)</f>
        <v>818.73333333333323</v>
      </c>
    </row>
    <row r="47" spans="1:12">
      <c r="A47" t="s">
        <v>640</v>
      </c>
      <c r="C47" s="3">
        <f>'Cost of capital worksheet'!B48</f>
        <v>9.5778093301001746E-2</v>
      </c>
      <c r="I47" s="5"/>
      <c r="K47" s="10"/>
    </row>
    <row r="48" spans="1:12">
      <c r="A48" t="s">
        <v>641</v>
      </c>
      <c r="C48" s="3">
        <f>'Option value'!D6</f>
        <v>1.17E-2</v>
      </c>
      <c r="I48" s="5" t="s">
        <v>656</v>
      </c>
      <c r="K48" s="10">
        <v>622</v>
      </c>
    </row>
    <row r="49" spans="1:11">
      <c r="A49" t="s">
        <v>642</v>
      </c>
      <c r="C49" s="3">
        <f>C47-C48</f>
        <v>8.4078093301001744E-2</v>
      </c>
      <c r="I49" s="5" t="s">
        <v>657</v>
      </c>
      <c r="K49" s="10">
        <v>641</v>
      </c>
    </row>
    <row r="50" spans="1:11">
      <c r="D50" t="s">
        <v>645</v>
      </c>
      <c r="E50" t="s">
        <v>646</v>
      </c>
      <c r="I50" s="5" t="s">
        <v>658</v>
      </c>
      <c r="K50" s="10">
        <v>674</v>
      </c>
    </row>
    <row r="51" spans="1:11">
      <c r="A51" t="s">
        <v>643</v>
      </c>
      <c r="C51" s="100">
        <f>C46*(1+(C47-C48))^1</f>
        <v>42.167399059857438</v>
      </c>
      <c r="D51" s="88">
        <f>(C51-$C$45)/$C$45</f>
        <v>-0.54901177476088303</v>
      </c>
      <c r="E51" s="3">
        <f>D51+C48</f>
        <v>-0.53731177476088299</v>
      </c>
      <c r="I51" s="5" t="s">
        <v>655</v>
      </c>
      <c r="K51" s="95">
        <f>AVERAGE(K48:K50)</f>
        <v>645.66666666666663</v>
      </c>
    </row>
    <row r="52" spans="1:11">
      <c r="A52" t="s">
        <v>644</v>
      </c>
      <c r="C52" s="100">
        <f>C46*(1+(C47-C48))^2</f>
        <v>45.712753572272703</v>
      </c>
      <c r="D52" s="88">
        <f>(C52-$C$45)/$C$45</f>
        <v>-0.51109354468157542</v>
      </c>
      <c r="E52" s="3">
        <f>D52+C48</f>
        <v>-0.49939354468157543</v>
      </c>
      <c r="I52" s="5"/>
      <c r="K52" s="10"/>
    </row>
    <row r="53" spans="1:11">
      <c r="I53" s="5" t="s">
        <v>659</v>
      </c>
      <c r="K53" s="95">
        <f>K46-K51</f>
        <v>173.06666666666661</v>
      </c>
    </row>
    <row r="54" spans="1:11">
      <c r="I54" s="5" t="s">
        <v>660</v>
      </c>
      <c r="K54" s="96">
        <f>K53/K51</f>
        <v>0.26804336602994311</v>
      </c>
    </row>
    <row r="55" spans="1:11">
      <c r="I55" s="5"/>
      <c r="K55" s="10"/>
    </row>
    <row r="56" spans="1:11">
      <c r="I56" s="5" t="s">
        <v>661</v>
      </c>
      <c r="K56" s="10"/>
    </row>
    <row r="57" spans="1:11">
      <c r="I57" s="97">
        <f>AVERAGE('Valuation Output'!K5:M5)</f>
        <v>1659.6831816303413</v>
      </c>
      <c r="K57" s="10"/>
    </row>
    <row r="58" spans="1:11">
      <c r="I58" s="5" t="s">
        <v>659</v>
      </c>
      <c r="K58" s="98">
        <f>I57-K46</f>
        <v>840.94984829700809</v>
      </c>
    </row>
    <row r="59" spans="1:11">
      <c r="I59" s="6" t="s">
        <v>660</v>
      </c>
      <c r="J59" s="11"/>
      <c r="K59" s="99">
        <f>K58/K46</f>
        <v>1.0271352271358296</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127.60000000000001</v>
      </c>
    </row>
    <row r="103" spans="9:13">
      <c r="I103" s="108" t="s">
        <v>667</v>
      </c>
      <c r="J103" s="109">
        <v>13535</v>
      </c>
      <c r="K103" s="109">
        <v>13264</v>
      </c>
      <c r="M103" s="1" t="s">
        <v>671</v>
      </c>
    </row>
    <row r="104" spans="9:13">
      <c r="I104" s="108" t="s">
        <v>668</v>
      </c>
      <c r="J104" s="110">
        <f>J102+J103</f>
        <v>15224</v>
      </c>
      <c r="K104" s="110">
        <f>K102+K103</f>
        <v>14884</v>
      </c>
      <c r="M104">
        <f>'TTM Calc'!E4+'TTM Calc'!E7</f>
        <v>770.49999999999989</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93.5</v>
      </c>
    </row>
    <row r="3" spans="1:6">
      <c r="A3" t="s">
        <v>386</v>
      </c>
      <c r="D3" s="52">
        <f>'Input Sheet'!B32</f>
        <v>82.6</v>
      </c>
    </row>
    <row r="4" spans="1:6">
      <c r="A4" t="s">
        <v>387</v>
      </c>
      <c r="D4" s="41">
        <f>'Input Sheet'!B33</f>
        <v>5.6</v>
      </c>
    </row>
    <row r="5" spans="1:6">
      <c r="A5" t="s">
        <v>388</v>
      </c>
      <c r="D5" s="46">
        <f>'Input Sheet'!B34</f>
        <v>0.184</v>
      </c>
    </row>
    <row r="6" spans="1:6">
      <c r="A6" t="s">
        <v>389</v>
      </c>
      <c r="D6" s="55">
        <v>1.17E-2</v>
      </c>
    </row>
    <row r="7" spans="1:6">
      <c r="A7" t="s">
        <v>390</v>
      </c>
      <c r="D7" s="46">
        <f>'Input Sheet'!B27</f>
        <v>3.9E-2</v>
      </c>
    </row>
    <row r="8" spans="1:6">
      <c r="A8" t="s">
        <v>391</v>
      </c>
      <c r="D8" s="48">
        <f>'Input Sheet'!B31</f>
        <v>3.6</v>
      </c>
    </row>
    <row r="9" spans="1:6">
      <c r="A9" t="s">
        <v>392</v>
      </c>
      <c r="D9" s="41">
        <f>'Input Sheet'!B18</f>
        <v>246.38</v>
      </c>
    </row>
    <row r="11" spans="1:6">
      <c r="A11" t="s">
        <v>393</v>
      </c>
    </row>
    <row r="12" spans="1:6">
      <c r="A12" t="s">
        <v>394</v>
      </c>
    </row>
    <row r="13" spans="1:6">
      <c r="A13" t="s">
        <v>395</v>
      </c>
      <c r="C13" s="45">
        <f>D2</f>
        <v>93.5</v>
      </c>
      <c r="D13" t="s">
        <v>406</v>
      </c>
      <c r="F13" s="48">
        <f>D8</f>
        <v>3.6</v>
      </c>
    </row>
    <row r="14" spans="1:6">
      <c r="A14" t="s">
        <v>396</v>
      </c>
      <c r="C14" s="52">
        <f>D3</f>
        <v>82.6</v>
      </c>
      <c r="D14" t="s">
        <v>407</v>
      </c>
      <c r="F14" s="41">
        <f>D9</f>
        <v>246.38</v>
      </c>
    </row>
    <row r="15" spans="1:6">
      <c r="A15" t="s">
        <v>397</v>
      </c>
      <c r="C15" s="41">
        <f ca="1">(C13*F14+C26*F13)/(F14+F13)</f>
        <v>92.522988565418771</v>
      </c>
      <c r="D15" t="s">
        <v>408</v>
      </c>
      <c r="F15" s="46">
        <f>D7</f>
        <v>3.9E-2</v>
      </c>
    </row>
    <row r="16" spans="1:6">
      <c r="A16" t="s">
        <v>398</v>
      </c>
      <c r="C16" s="52">
        <f>C14</f>
        <v>82.6</v>
      </c>
      <c r="D16" t="s">
        <v>409</v>
      </c>
      <c r="F16" s="41">
        <f>D5^2</f>
        <v>3.3855999999999997E-2</v>
      </c>
    </row>
    <row r="17" spans="1:6">
      <c r="A17" t="s">
        <v>399</v>
      </c>
      <c r="C17" s="41">
        <f>D4</f>
        <v>5.6</v>
      </c>
      <c r="D17" t="s">
        <v>410</v>
      </c>
      <c r="F17" s="41">
        <f>D6</f>
        <v>1.17E-2</v>
      </c>
    </row>
    <row r="18" spans="1:6">
      <c r="D18" t="s">
        <v>411</v>
      </c>
      <c r="F18" s="46">
        <f>F15-F17</f>
        <v>2.7299999999999998E-2</v>
      </c>
    </row>
    <row r="20" spans="1:6">
      <c r="A20" t="s">
        <v>400</v>
      </c>
      <c r="B20" s="41">
        <f ca="1">(LN(C15/C16)+(F18+(F16/2))*C17)/(((F16)^(0.5))*(C17^0.5))</f>
        <v>0.82936332406950541</v>
      </c>
    </row>
    <row r="21" spans="1:6">
      <c r="A21" t="s">
        <v>401</v>
      </c>
      <c r="B21" s="41">
        <f ca="1">NORMSDIST(B20)</f>
        <v>0.79655057584764188</v>
      </c>
    </row>
    <row r="23" spans="1:6">
      <c r="A23" t="s">
        <v>402</v>
      </c>
      <c r="B23" s="41">
        <f ca="1">B20-((F16^0.5)*(C17^(0.5)))</f>
        <v>0.39393985203337367</v>
      </c>
    </row>
    <row r="24" spans="1:6">
      <c r="A24" t="s">
        <v>403</v>
      </c>
      <c r="B24" s="41">
        <f ca="1">NORMSDIST(B23)</f>
        <v>0.65318727659347653</v>
      </c>
    </row>
    <row r="26" spans="1:6">
      <c r="A26" t="s">
        <v>404</v>
      </c>
      <c r="C26" s="41">
        <f ca="1">((EXP((0-F17)*C17))*C15*B21-C16*(EXP((0-F15)*C17))*B24)</f>
        <v>25.657411550940033</v>
      </c>
    </row>
    <row r="27" spans="1:6">
      <c r="A27" t="s">
        <v>405</v>
      </c>
      <c r="D27" s="41">
        <f ca="1">C26*D8</f>
        <v>92.366681583384121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topLeftCell="A5" workbookViewId="0">
      <selection activeCell="B13" sqref="B13"/>
    </sheetView>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116.3</v>
      </c>
      <c r="G7" s="13" t="s">
        <v>432</v>
      </c>
    </row>
    <row r="8" spans="1:7">
      <c r="A8" t="s">
        <v>418</v>
      </c>
    </row>
    <row r="9" spans="1:7">
      <c r="A9" t="s">
        <v>419</v>
      </c>
    </row>
    <row r="10" spans="1:7">
      <c r="A10" s="1" t="s">
        <v>420</v>
      </c>
      <c r="B10" s="1" t="s">
        <v>435</v>
      </c>
    </row>
    <row r="11" spans="1:7">
      <c r="A11" s="1">
        <v>-1</v>
      </c>
      <c r="B11" s="24">
        <v>110</v>
      </c>
      <c r="C11" s="14" t="s">
        <v>433</v>
      </c>
    </row>
    <row r="12" spans="1:7">
      <c r="A12" s="1">
        <f t="shared" ref="A12:A20" si="0">IF((0-A11)&lt;$F$6,IF(A11&gt;-1,,A11-1),)</f>
        <v>-2</v>
      </c>
      <c r="B12" s="24">
        <v>105.2</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116.3</v>
      </c>
      <c r="C24" s="41">
        <f>1</f>
        <v>1</v>
      </c>
      <c r="D24" s="41">
        <f t="shared" ref="D24:D34" si="1">B24*C24</f>
        <v>116.3</v>
      </c>
    </row>
    <row r="25" spans="1:5">
      <c r="A25" s="1">
        <f t="shared" ref="A25:B34" si="2">A11</f>
        <v>-1</v>
      </c>
      <c r="B25" s="41">
        <f t="shared" si="2"/>
        <v>110</v>
      </c>
      <c r="C25" s="41">
        <f t="shared" ref="C25:C34" si="3">IF(A25&lt;0,($F$6+A25)/$F$6,0)</f>
        <v>0.5</v>
      </c>
      <c r="D25" s="41">
        <f t="shared" si="1"/>
        <v>55</v>
      </c>
      <c r="E25" s="41">
        <f t="shared" ref="E25:E34" si="4">IF(A25&lt;0,B25/$F$6,0)</f>
        <v>55</v>
      </c>
    </row>
    <row r="26" spans="1:5">
      <c r="A26" s="1">
        <f t="shared" si="2"/>
        <v>-2</v>
      </c>
      <c r="B26" s="41">
        <f t="shared" si="2"/>
        <v>105.2</v>
      </c>
      <c r="C26" s="41">
        <f t="shared" si="3"/>
        <v>0</v>
      </c>
      <c r="D26" s="41">
        <f t="shared" si="1"/>
        <v>0</v>
      </c>
      <c r="E26" s="41">
        <f t="shared" si="4"/>
        <v>52.6</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171.3</v>
      </c>
      <c r="E35" s="41">
        <f>SUM(E25:E34)</f>
        <v>107.6</v>
      </c>
    </row>
    <row r="37" spans="1:5">
      <c r="A37" t="s">
        <v>424</v>
      </c>
      <c r="D37" s="41">
        <f>E35</f>
        <v>107.6</v>
      </c>
    </row>
    <row r="39" spans="1:5">
      <c r="A39" t="s">
        <v>425</v>
      </c>
      <c r="D39" s="41">
        <f>F7-D37</f>
        <v>8.7000000000000028</v>
      </c>
      <c r="E39" t="s">
        <v>430</v>
      </c>
    </row>
    <row r="40" spans="1:5">
      <c r="A40" t="s">
        <v>426</v>
      </c>
      <c r="D40" s="41">
        <f>D39*'Input Sheet'!B21</f>
        <v>2.1750000000000007</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B13" sqref="B13"/>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49</v>
      </c>
    </row>
    <row r="5" spans="1:5">
      <c r="A5" t="s">
        <v>437</v>
      </c>
    </row>
    <row r="6" spans="1:5">
      <c r="A6" s="1" t="s">
        <v>420</v>
      </c>
      <c r="B6" s="1" t="s">
        <v>448</v>
      </c>
      <c r="C6" t="s">
        <v>449</v>
      </c>
    </row>
    <row r="7" spans="1:5">
      <c r="A7" s="1">
        <v>1</v>
      </c>
      <c r="B7" s="24">
        <v>46.8</v>
      </c>
    </row>
    <row r="8" spans="1:5">
      <c r="A8" s="1">
        <v>2</v>
      </c>
      <c r="B8" s="24">
        <v>45.2</v>
      </c>
    </row>
    <row r="9" spans="1:5">
      <c r="A9" s="1">
        <v>3</v>
      </c>
      <c r="B9" s="24">
        <v>39.5</v>
      </c>
    </row>
    <row r="10" spans="1:5">
      <c r="A10" s="1">
        <v>4</v>
      </c>
      <c r="B10" s="24">
        <v>35.9</v>
      </c>
    </row>
    <row r="11" spans="1:5">
      <c r="A11" s="1">
        <v>5</v>
      </c>
      <c r="B11" s="24">
        <v>34.700000000000003</v>
      </c>
    </row>
    <row r="12" spans="1:5">
      <c r="A12" s="1" t="s">
        <v>438</v>
      </c>
      <c r="B12" s="24">
        <v>204.4</v>
      </c>
    </row>
    <row r="14" spans="1:5">
      <c r="A14" s="1" t="s">
        <v>421</v>
      </c>
    </row>
    <row r="15" spans="1:5">
      <c r="A15" s="1" t="s">
        <v>439</v>
      </c>
      <c r="C15" s="46">
        <f>'Synthetic rating'!D13</f>
        <v>4.7500000000000001E-2</v>
      </c>
      <c r="D15" t="s">
        <v>451</v>
      </c>
    </row>
    <row r="18" spans="1:7">
      <c r="A18" t="s">
        <v>440</v>
      </c>
      <c r="D18" s="41">
        <f>IF(B12&gt;0,ROUND(B12/AVERAGE(B7:B11),0),0)</f>
        <v>5</v>
      </c>
      <c r="E18" t="s">
        <v>453</v>
      </c>
    </row>
    <row r="19" spans="1:7">
      <c r="E19" t="s">
        <v>454</v>
      </c>
    </row>
    <row r="20" spans="1:7">
      <c r="A20" s="1" t="s">
        <v>441</v>
      </c>
    </row>
    <row r="21" spans="1:7">
      <c r="A21" s="1" t="s">
        <v>420</v>
      </c>
      <c r="B21" t="s">
        <v>448</v>
      </c>
      <c r="C21" t="s">
        <v>450</v>
      </c>
    </row>
    <row r="22" spans="1:7">
      <c r="A22" s="1">
        <f t="shared" ref="A22:B26" si="0">A7</f>
        <v>1</v>
      </c>
      <c r="B22" s="41">
        <f t="shared" si="0"/>
        <v>46.8</v>
      </c>
      <c r="C22" s="41">
        <f>B22/(1+$C$15)^A22</f>
        <v>44.677804295942714</v>
      </c>
    </row>
    <row r="23" spans="1:7">
      <c r="A23" s="1">
        <f t="shared" si="0"/>
        <v>2</v>
      </c>
      <c r="B23" s="41">
        <f t="shared" si="0"/>
        <v>45.2</v>
      </c>
      <c r="C23" s="41">
        <f>B23/(1+$C$15)^A23</f>
        <v>41.193659183987322</v>
      </c>
    </row>
    <row r="24" spans="1:7">
      <c r="A24" s="1">
        <f t="shared" si="0"/>
        <v>3</v>
      </c>
      <c r="B24" s="41">
        <f t="shared" si="0"/>
        <v>39.5</v>
      </c>
      <c r="C24" s="41">
        <f>B24/(1+$C$15)^A24</f>
        <v>34.366475970336012</v>
      </c>
    </row>
    <row r="25" spans="1:7">
      <c r="A25" s="1">
        <f t="shared" si="0"/>
        <v>4</v>
      </c>
      <c r="B25" s="41">
        <f t="shared" si="0"/>
        <v>35.9</v>
      </c>
      <c r="C25" s="41">
        <f>B25/(1+$C$15)^A25</f>
        <v>29.817987065890762</v>
      </c>
    </row>
    <row r="26" spans="1:7">
      <c r="A26" s="1">
        <f t="shared" si="0"/>
        <v>5</v>
      </c>
      <c r="B26" s="41">
        <f t="shared" si="0"/>
        <v>34.700000000000003</v>
      </c>
      <c r="C26" s="41">
        <f>B26/(1+$C$15)^A26</f>
        <v>27.514353745458664</v>
      </c>
    </row>
    <row r="27" spans="1:7">
      <c r="A27" s="1" t="str">
        <f>A12</f>
        <v>6 and beyond</v>
      </c>
      <c r="B27" s="41">
        <f>IF(B12&gt;0,IF(D18&gt;0,B12/D18,B12),0)</f>
        <v>40.880000000000003</v>
      </c>
      <c r="C27" s="41">
        <f>IF(D18&gt;0,(B27*(1-(1+C15)^(-D18))/C15)/(1+$C$15)^5,B27/(1+C15)^6)</f>
        <v>141.31344301281791</v>
      </c>
      <c r="D27" t="s">
        <v>452</v>
      </c>
    </row>
    <row r="28" spans="1:7">
      <c r="A28" s="1" t="s">
        <v>442</v>
      </c>
      <c r="C28" s="41">
        <f>SUM(C22:C27)</f>
        <v>318.88372327443341</v>
      </c>
    </row>
    <row r="30" spans="1:7">
      <c r="A30" s="1" t="s">
        <v>443</v>
      </c>
    </row>
    <row r="31" spans="1:7">
      <c r="A31" t="s">
        <v>444</v>
      </c>
      <c r="F31" s="41">
        <f>C28/(5+D18)</f>
        <v>31.888372327443342</v>
      </c>
      <c r="G31" s="13" t="s">
        <v>455</v>
      </c>
    </row>
    <row r="32" spans="1:7">
      <c r="A32" t="s">
        <v>445</v>
      </c>
      <c r="F32" s="41">
        <f>E4-F31</f>
        <v>17.111627672556658</v>
      </c>
      <c r="G32" s="13" t="s">
        <v>456</v>
      </c>
    </row>
    <row r="33" spans="1:7">
      <c r="A33" t="s">
        <v>446</v>
      </c>
      <c r="F33" s="41">
        <f>C28</f>
        <v>318.88372327443341</v>
      </c>
      <c r="G33" s="13" t="s">
        <v>457</v>
      </c>
    </row>
    <row r="34" spans="1:7">
      <c r="A34" t="s">
        <v>447</v>
      </c>
      <c r="F34" s="41">
        <f>C28/(5+D18)</f>
        <v>31.888372327443342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35" workbookViewId="0">
      <selection activeCell="I27" sqref="I27"/>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3913.8</v>
      </c>
      <c r="J3" s="46">
        <f>IF(I3=0,0,VLOOKUP(H3,'Country equity risk premiums'!$A$2:$D$152,4))</f>
        <v>4.53E-2</v>
      </c>
      <c r="K3" s="46">
        <f t="shared" ref="K3:K13" si="0">IF(I3&gt;0,I3/$I$14,)</f>
        <v>0.90580448065173114</v>
      </c>
      <c r="L3" s="46">
        <f t="shared" ref="L3:L13" si="1">IF(K3=0,0,J3*K3)</f>
        <v>4.1032942973523417E-2</v>
      </c>
    </row>
    <row r="4" spans="1:12">
      <c r="A4" t="s">
        <v>462</v>
      </c>
      <c r="B4" s="41">
        <f>'Input Sheet'!B18</f>
        <v>246.38</v>
      </c>
      <c r="H4" s="24" t="s">
        <v>72</v>
      </c>
      <c r="I4" s="24">
        <v>279.5</v>
      </c>
      <c r="J4" s="46">
        <f>IF(I4=0,0,VLOOKUP(H4,'Country equity risk premiums'!$A$2:$D$152,4))</f>
        <v>4.53E-2</v>
      </c>
      <c r="K4" s="46">
        <f t="shared" si="0"/>
        <v>6.4687094982410667E-2</v>
      </c>
      <c r="L4" s="46">
        <f t="shared" si="1"/>
        <v>2.9303254027032034E-3</v>
      </c>
    </row>
    <row r="5" spans="1:12">
      <c r="A5" t="s">
        <v>463</v>
      </c>
      <c r="B5" s="45">
        <f>'Input Sheet'!B19</f>
        <v>93.5</v>
      </c>
      <c r="H5" s="24" t="s">
        <v>192</v>
      </c>
      <c r="I5" s="24">
        <v>127.5</v>
      </c>
      <c r="J5" s="46">
        <f>IF(I5=0,0,VLOOKUP(H5,'Country equity risk premiums'!$A$2:$D$152,4))</f>
        <v>5.5645766699151611E-2</v>
      </c>
      <c r="K5" s="46">
        <f t="shared" si="0"/>
        <v>2.9508424365858172E-2</v>
      </c>
      <c r="L5" s="46">
        <f t="shared" si="1"/>
        <v>1.6420188979221046E-3</v>
      </c>
    </row>
    <row r="6" spans="1:12">
      <c r="H6" s="24"/>
      <c r="I6" s="24"/>
      <c r="J6" s="46">
        <f>IF(I6=0,0,VLOOKUP(H6,'Country equity risk premiums'!$A$2:$D$152,4))</f>
        <v>0</v>
      </c>
      <c r="K6" s="46">
        <f t="shared" si="0"/>
        <v>0</v>
      </c>
      <c r="L6" s="46">
        <f t="shared" si="1"/>
        <v>0</v>
      </c>
    </row>
    <row r="7" spans="1:12">
      <c r="A7" t="s">
        <v>464</v>
      </c>
      <c r="B7" s="24" t="s">
        <v>497</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0.92631171278620295</v>
      </c>
      <c r="H9" s="24"/>
      <c r="I9" s="24"/>
      <c r="J9" s="46">
        <f>IF(I9=0,0,VLOOKUP(H9,'Country equity risk premiums'!$A$2:$D$152,4))</f>
        <v>0</v>
      </c>
      <c r="K9" s="46">
        <f t="shared" si="0"/>
        <v>0</v>
      </c>
      <c r="L9" s="46">
        <f t="shared" si="1"/>
        <v>0</v>
      </c>
    </row>
    <row r="10" spans="1:12">
      <c r="A10" t="s">
        <v>467</v>
      </c>
      <c r="B10" s="46">
        <f>'Input Sheet'!B27</f>
        <v>3.9E-2</v>
      </c>
      <c r="H10" s="24"/>
      <c r="I10" s="24"/>
      <c r="J10" s="46">
        <f>IF(I10=0,0,VLOOKUP(H10,'Country equity risk premiums'!$A$2:$D$152,4))</f>
        <v>0</v>
      </c>
      <c r="K10" s="46">
        <f t="shared" si="0"/>
        <v>0</v>
      </c>
      <c r="L10" s="46">
        <f t="shared" si="1"/>
        <v>0</v>
      </c>
    </row>
    <row r="11" spans="1:12">
      <c r="A11" t="s">
        <v>468</v>
      </c>
      <c r="B11" s="24" t="s">
        <v>498</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5.6611330252427143E-2</v>
      </c>
      <c r="H13" s="24"/>
      <c r="I13" s="24"/>
      <c r="J13" s="46">
        <f>IF(I13=0,0,VLOOKUP(H13,'Country equity risk premiums'!$A$2:$D$152,4))</f>
        <v>0</v>
      </c>
      <c r="K13" s="46">
        <f t="shared" si="0"/>
        <v>0</v>
      </c>
      <c r="L13" s="46">
        <f t="shared" si="1"/>
        <v>0</v>
      </c>
    </row>
    <row r="14" spans="1:12">
      <c r="H14" s="6" t="s">
        <v>505</v>
      </c>
      <c r="I14" s="41">
        <f>SUM(I3:I13)</f>
        <v>4320.8</v>
      </c>
      <c r="J14" s="11"/>
      <c r="K14" s="46">
        <f>SUM(K3:K13)</f>
        <v>1</v>
      </c>
      <c r="L14" s="57">
        <f>SUM(L3:L13)</f>
        <v>4.5605287274148726E-2</v>
      </c>
    </row>
    <row r="15" spans="1:12">
      <c r="A15" t="s">
        <v>471</v>
      </c>
      <c r="H15" t="s">
        <v>506</v>
      </c>
    </row>
    <row r="16" spans="1:12">
      <c r="A16" t="s">
        <v>472</v>
      </c>
      <c r="B16" s="45">
        <f>'Input Sheet'!B12</f>
        <v>2570.3000000000002</v>
      </c>
      <c r="H16" s="7" t="s">
        <v>36</v>
      </c>
      <c r="I16" s="8" t="s">
        <v>5</v>
      </c>
      <c r="J16" s="8" t="s">
        <v>510</v>
      </c>
      <c r="K16" s="8" t="s">
        <v>512</v>
      </c>
      <c r="L16" s="9" t="s">
        <v>514</v>
      </c>
    </row>
    <row r="17" spans="1:12">
      <c r="A17" t="s">
        <v>473</v>
      </c>
      <c r="B17" s="45">
        <f>'Input Sheet'!B10</f>
        <v>113.9</v>
      </c>
      <c r="H17" s="24" t="str">
        <f>'Country equity risk premiums'!A156</f>
        <v>Africa</v>
      </c>
      <c r="I17" s="24">
        <v>0</v>
      </c>
      <c r="J17" s="46">
        <f>'Country equity risk premiums'!B156</f>
        <v>0.15237530436670971</v>
      </c>
      <c r="K17" s="46">
        <f t="shared" ref="K17:K26" si="2">I17/$I$27</f>
        <v>0</v>
      </c>
      <c r="L17" s="46">
        <f t="shared" ref="L17:L26" si="3">J17*K17</f>
        <v>0</v>
      </c>
    </row>
    <row r="18" spans="1:12">
      <c r="A18" t="s">
        <v>474</v>
      </c>
      <c r="B18" s="24">
        <v>4</v>
      </c>
      <c r="H18" s="24" t="str">
        <f>'Country equity risk premiums'!A157</f>
        <v>Asia</v>
      </c>
      <c r="I18" s="24">
        <v>0</v>
      </c>
      <c r="J18" s="46">
        <f>'Country equity risk premiums'!B157</f>
        <v>0.10954430062797985</v>
      </c>
      <c r="K18" s="46">
        <f t="shared" si="2"/>
        <v>0</v>
      </c>
      <c r="L18" s="46">
        <f t="shared" si="3"/>
        <v>0</v>
      </c>
    </row>
    <row r="19" spans="1:12">
      <c r="A19" t="s">
        <v>475</v>
      </c>
      <c r="B19" s="24" t="s">
        <v>499</v>
      </c>
      <c r="H19" s="24" t="str">
        <f>'Country equity risk premiums'!A158</f>
        <v>Australia &amp; New Zealand</v>
      </c>
      <c r="I19" s="24">
        <v>0</v>
      </c>
      <c r="J19" s="46">
        <f>'Country equity risk premiums'!B158</f>
        <v>7.1198226442974299E-2</v>
      </c>
      <c r="K19" s="46">
        <f t="shared" si="2"/>
        <v>0</v>
      </c>
      <c r="L19" s="46">
        <f t="shared" si="3"/>
        <v>0</v>
      </c>
    </row>
    <row r="20" spans="1:12">
      <c r="A20" t="s">
        <v>476</v>
      </c>
      <c r="B20" s="78">
        <v>3.5000000000000003E-2</v>
      </c>
      <c r="H20" s="24" t="str">
        <f>'Country equity risk premiums'!A159</f>
        <v>Caribbean</v>
      </c>
      <c r="I20" s="24">
        <v>0</v>
      </c>
      <c r="J20" s="46">
        <f>'Country equity risk premiums'!B159</f>
        <v>0.11269238223775088</v>
      </c>
      <c r="K20" s="46">
        <f t="shared" si="2"/>
        <v>0</v>
      </c>
      <c r="L20" s="46">
        <f t="shared" si="3"/>
        <v>0</v>
      </c>
    </row>
    <row r="21" spans="1:12">
      <c r="A21" t="s">
        <v>477</v>
      </c>
      <c r="B21" s="24" t="s">
        <v>500</v>
      </c>
      <c r="H21" s="24" t="str">
        <f>'Country equity risk premiums'!A160</f>
        <v>Central and South America</v>
      </c>
      <c r="I21" s="24">
        <v>0</v>
      </c>
      <c r="J21" s="46">
        <f>'Country equity risk premiums'!B160</f>
        <v>0.14103737509411396</v>
      </c>
      <c r="K21" s="46">
        <f t="shared" si="2"/>
        <v>0</v>
      </c>
      <c r="L21" s="46">
        <f t="shared" si="3"/>
        <v>0</v>
      </c>
    </row>
    <row r="22" spans="1:12">
      <c r="A22" s="70" t="s">
        <v>478</v>
      </c>
      <c r="B22" s="24">
        <v>1</v>
      </c>
      <c r="H22" s="24" t="str">
        <f>'Country equity risk premiums'!A161</f>
        <v>Eastern Europe &amp; Russia</v>
      </c>
      <c r="I22" s="24">
        <v>0</v>
      </c>
      <c r="J22" s="46">
        <f>'Country equity risk premiums'!B161</f>
        <v>0.10952339414985329</v>
      </c>
      <c r="K22" s="46">
        <f t="shared" si="2"/>
        <v>0</v>
      </c>
      <c r="L22" s="46">
        <f t="shared" si="3"/>
        <v>0</v>
      </c>
    </row>
    <row r="23" spans="1:12">
      <c r="A23" t="s">
        <v>439</v>
      </c>
      <c r="B23" s="59">
        <f>IF(B19="Direct Input",B20,IF(B19="Synthetic Rating",'Synthetic rating'!D13,B10+VLOOKUP('Cost of capital worksheet'!B21,'Synthetic rating'!G39:H53,2)))</f>
        <v>4.7500000000000001E-2</v>
      </c>
      <c r="H23" s="24" t="str">
        <f>'Country equity risk premiums'!A162</f>
        <v>Middle East</v>
      </c>
      <c r="I23" s="24">
        <v>0</v>
      </c>
      <c r="J23" s="46">
        <f>'Country equity risk premiums'!B162</f>
        <v>0.1021300283457226</v>
      </c>
      <c r="K23" s="46">
        <f t="shared" si="2"/>
        <v>0</v>
      </c>
      <c r="L23" s="46">
        <f t="shared" si="3"/>
        <v>0</v>
      </c>
    </row>
    <row r="24" spans="1:12">
      <c r="A24" t="s">
        <v>479</v>
      </c>
      <c r="B24" s="47">
        <f>'Input Sheet'!B21</f>
        <v>0.25</v>
      </c>
      <c r="H24" s="24" t="str">
        <f>'Country equity risk premiums'!A163</f>
        <v>North America</v>
      </c>
      <c r="I24" s="24">
        <v>83</v>
      </c>
      <c r="J24" s="46">
        <f>'Country equity risk premiums'!B163</f>
        <v>4.53E-2</v>
      </c>
      <c r="K24" s="46">
        <f t="shared" si="2"/>
        <v>0.83</v>
      </c>
      <c r="L24" s="46">
        <f t="shared" si="3"/>
        <v>3.7599E-2</v>
      </c>
    </row>
    <row r="25" spans="1:12">
      <c r="H25" s="24" t="str">
        <f>'Country equity risk premiums'!A164</f>
        <v>Western Europe</v>
      </c>
      <c r="I25" s="24">
        <v>0</v>
      </c>
      <c r="J25" s="46">
        <f>'Country equity risk premiums'!B164</f>
        <v>6.235569080267378E-2</v>
      </c>
      <c r="K25" s="46">
        <f t="shared" si="2"/>
        <v>0</v>
      </c>
      <c r="L25" s="46">
        <f t="shared" si="3"/>
        <v>0</v>
      </c>
    </row>
    <row r="26" spans="1:12">
      <c r="A26" t="s">
        <v>480</v>
      </c>
      <c r="B26" s="24">
        <v>0</v>
      </c>
      <c r="H26" s="24" t="s">
        <v>606</v>
      </c>
      <c r="I26" s="24">
        <v>17</v>
      </c>
      <c r="J26" s="46">
        <f>'Country equity risk premiums'!B165</f>
        <v>0.11183723677898319</v>
      </c>
      <c r="K26" s="46">
        <f t="shared" si="2"/>
        <v>0.17</v>
      </c>
      <c r="L26" s="46">
        <f t="shared" si="3"/>
        <v>1.9012330252427143E-2</v>
      </c>
    </row>
    <row r="27" spans="1:12">
      <c r="A27" t="s">
        <v>481</v>
      </c>
      <c r="B27" s="24">
        <v>0</v>
      </c>
      <c r="H27" s="6" t="s">
        <v>505</v>
      </c>
      <c r="I27" s="41">
        <f>SUM(I17:I26)</f>
        <v>100</v>
      </c>
      <c r="J27" s="11"/>
      <c r="K27" s="46">
        <f>I27/$I$27</f>
        <v>1</v>
      </c>
      <c r="L27" s="57">
        <f>SUM(L17:L26)</f>
        <v>5.6611330252427143E-2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IF('Input Sheet'!B14="Yes",'Operating lease converter'!F33,0)</f>
        <v>0</v>
      </c>
      <c r="H31" s="24" t="s">
        <v>237</v>
      </c>
      <c r="I31" s="24">
        <v>184819</v>
      </c>
      <c r="J31" s="41">
        <f>IF(H31=0,,VLOOKUP(H31,'Industry Averages(US)'!$A$2:$S$96,15))</f>
        <v>5.1528482926352703</v>
      </c>
      <c r="K31" s="41">
        <f t="shared" ref="K31:K42" si="4">I31*J31</f>
        <v>952344.26859655802</v>
      </c>
      <c r="L31" s="41">
        <f>IF(J31=0,0,VLOOKUP(H31,'Industry Averages(US)'!$A$2:$S$96,7))</f>
        <v>1.062001680471524</v>
      </c>
    </row>
    <row r="32" spans="1:12">
      <c r="H32" s="24" t="s">
        <v>238</v>
      </c>
      <c r="I32" s="24">
        <v>15317</v>
      </c>
      <c r="J32" s="41">
        <f>IF(H32=0,,VLOOKUP(H32,'Industry Averages(US)'!$A$2:$S$96,15))</f>
        <v>0.6887289455148623</v>
      </c>
      <c r="K32" s="41">
        <f t="shared" si="4"/>
        <v>10549.261258451146</v>
      </c>
      <c r="L32" s="41">
        <f>IF(J32=0,0,VLOOKUP(H32,'Industry Averages(US)'!$A$2:$S$96,7))</f>
        <v>0.9858326817212415</v>
      </c>
    </row>
    <row r="33" spans="1:12">
      <c r="A33" t="s">
        <v>485</v>
      </c>
      <c r="H33" s="24" t="s">
        <v>239</v>
      </c>
      <c r="I33" s="24">
        <v>1023</v>
      </c>
      <c r="J33" s="41">
        <f>IF(H33=0,,VLOOKUP(H33,'Industry Averages(US)'!$A$2:$S$96,15))</f>
        <v>5.3325294190233024</v>
      </c>
      <c r="K33" s="41">
        <f t="shared" si="4"/>
        <v>5455.1775956608381</v>
      </c>
      <c r="L33" s="41">
        <f>IF(J33=0,0,VLOOKUP(H33,'Industry Averages(US)'!$A$2:$S$96,7))</f>
        <v>1.3298040924419459</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B17*(1-(1+B23)^(-B18))/B23+B16/(1+B23)^B18</f>
        <v>2541.0918930241</v>
      </c>
      <c r="H39" s="24"/>
      <c r="I39" s="24"/>
      <c r="J39" s="41">
        <f>IF(H39=0,,VLOOKUP(H39,'Industry Averages(US)'!$A$2:$S$96,15))</f>
        <v>0</v>
      </c>
      <c r="K39" s="41">
        <f t="shared" si="4"/>
        <v>0</v>
      </c>
      <c r="L39" s="41">
        <f>IF(J39=0,0,VLOOKUP(H39,'Industry Averages(US)'!$A$2:$S$96,7))</f>
        <v>0</v>
      </c>
    </row>
    <row r="40" spans="1:12">
      <c r="A40" t="s">
        <v>490</v>
      </c>
      <c r="C40" s="41">
        <f>B27*(1-(1+B23)^(-B28))/B23+B26/(1+B23)^B28</f>
        <v>0</v>
      </c>
      <c r="H40" s="24"/>
      <c r="I40" s="24"/>
      <c r="J40" s="41">
        <f>IF(H40=0,,VLOOKUP(H40,'Industry Averages(US)'!$A$2:$S$96,15))</f>
        <v>0</v>
      </c>
      <c r="K40" s="41">
        <f t="shared" si="4"/>
        <v>0</v>
      </c>
      <c r="L40" s="41">
        <f>IF(J40=0,0,VLOOKUP(H40,'Industry Averages(US)'!$A$2:$S$96,7))</f>
        <v>0</v>
      </c>
    </row>
    <row r="41" spans="1:12">
      <c r="A41" t="s">
        <v>491</v>
      </c>
      <c r="C41" s="41">
        <f>B31</f>
        <v>0</v>
      </c>
      <c r="H41" s="24"/>
      <c r="I41" s="24"/>
      <c r="J41" s="41">
        <f>IF(H41=0,,VLOOKUP(H41,'Industry Averages(US)'!$A$2:$S$96,15))</f>
        <v>0</v>
      </c>
      <c r="K41" s="41">
        <f t="shared" si="4"/>
        <v>0</v>
      </c>
      <c r="L41" s="41">
        <f>IF(J41=0,0,VLOOKUP(H41,'Industry Averages(US)'!$A$2:$S$96,7))</f>
        <v>0</v>
      </c>
    </row>
    <row r="42" spans="1:12">
      <c r="A42" t="s">
        <v>492</v>
      </c>
      <c r="C42" s="41">
        <f>B29-C40</f>
        <v>0</v>
      </c>
      <c r="H42" s="24"/>
      <c r="I42" s="24"/>
      <c r="J42" s="41">
        <f>IF(H42=0,,VLOOKUP(H42,'Industry Averages(US)'!$A$2:$S$96,15))</f>
        <v>0</v>
      </c>
      <c r="K42" s="41">
        <f t="shared" si="4"/>
        <v>0</v>
      </c>
      <c r="L42" s="41">
        <f>IF(J42=0,0,VLOOKUP(H42,'Industry Averages(US)'!$A$2:$S$96,7))</f>
        <v>0</v>
      </c>
    </row>
    <row r="43" spans="1:12">
      <c r="A43" t="s">
        <v>493</v>
      </c>
      <c r="C43" s="41">
        <f>IF(B7="Direct Input",B8,B9*(1+(1-B24)*(C46/B46)))</f>
        <v>1.0029457539300175</v>
      </c>
      <c r="H43" s="6" t="s">
        <v>339</v>
      </c>
      <c r="I43" s="41">
        <f>SUM(I31:I42)</f>
        <v>201159</v>
      </c>
      <c r="J43" s="11"/>
      <c r="K43" s="41">
        <f>SUM(K31:K42)</f>
        <v>968348.70745066996</v>
      </c>
      <c r="L43" s="56">
        <f>L31*(K31/K43)+L32*K32/K43+L33*K33/K43+L34*K34/K43+L35*K35/K43+L36*K36/K43+L37*K37/K43+L38*K38/K43+L39*K39/K43+L40*K40/K43+L41*K41/K43+L42*K42/K43</f>
        <v>1.0626805506400649</v>
      </c>
    </row>
    <row r="45" spans="1:12">
      <c r="B45" t="s">
        <v>461</v>
      </c>
      <c r="C45" t="s">
        <v>501</v>
      </c>
      <c r="D45" t="s">
        <v>485</v>
      </c>
      <c r="E45" t="s">
        <v>502</v>
      </c>
      <c r="H45" t="s">
        <v>509</v>
      </c>
    </row>
    <row r="46" spans="1:12">
      <c r="A46" t="s">
        <v>494</v>
      </c>
      <c r="B46" s="41">
        <f>B4*B5</f>
        <v>23036.53</v>
      </c>
      <c r="C46" s="41">
        <f>C39+C40+C41</f>
        <v>2541.0918930241</v>
      </c>
      <c r="D46" s="41">
        <f>B34*B35</f>
        <v>0</v>
      </c>
      <c r="E46" s="41">
        <f>SUM(B46:D46)</f>
        <v>25577.621893024098</v>
      </c>
      <c r="H46" s="7" t="s">
        <v>508</v>
      </c>
      <c r="I46" s="8" t="s">
        <v>5</v>
      </c>
      <c r="J46" s="8" t="s">
        <v>511</v>
      </c>
      <c r="K46" s="8" t="s">
        <v>513</v>
      </c>
      <c r="L46" s="9" t="s">
        <v>515</v>
      </c>
    </row>
    <row r="47" spans="1:12">
      <c r="A47" t="s">
        <v>495</v>
      </c>
      <c r="B47" s="59">
        <f>B46/$E$46</f>
        <v>0.90065175317502277</v>
      </c>
      <c r="C47" s="59">
        <f>C46/$E$46</f>
        <v>9.9348246824977254E-2</v>
      </c>
      <c r="D47" s="59">
        <f>D46/$E$46</f>
        <v>0</v>
      </c>
      <c r="E47" s="59">
        <f>SUM(B47:D47)</f>
        <v>1</v>
      </c>
      <c r="H47" s="24" t="s">
        <v>233</v>
      </c>
      <c r="I47" s="24">
        <v>90</v>
      </c>
      <c r="J47" s="41">
        <f>IF(H47=0,,VLOOKUP(H47,'Global industry averages'!$A$2:$O$96,15))</f>
        <v>1.5542804803457522</v>
      </c>
      <c r="K47" s="41">
        <f t="shared" ref="K47:K58" si="5">I47*J47</f>
        <v>139.8852432311177</v>
      </c>
      <c r="L47" s="41">
        <f>IF(H47=0,,VLOOKUP(H47,'Global industry averages'!$A$2:$O$96,7))</f>
        <v>0.65334402446556439</v>
      </c>
    </row>
    <row r="48" spans="1:12">
      <c r="A48" t="s">
        <v>496</v>
      </c>
      <c r="B48" s="59">
        <f>B10+C43*B13</f>
        <v>9.5778093301001746E-2</v>
      </c>
      <c r="C48" s="59">
        <f>B23*(1-B24)</f>
        <v>3.5625000000000004E-2</v>
      </c>
      <c r="D48" s="59">
        <f>B36/B35</f>
        <v>3.8095238095238099E-2</v>
      </c>
      <c r="E48" s="58">
        <f>B47*B48+C47*C48+D47*D48</f>
        <v>8.9801988940447941E-2</v>
      </c>
      <c r="H48" s="24" t="s">
        <v>216</v>
      </c>
      <c r="I48" s="24">
        <v>10</v>
      </c>
      <c r="J48" s="41">
        <f>IF(H48=0,,VLOOKUP(H48,'Global industry averages'!$A$2:$O$96,15))</f>
        <v>2.0157117635380177</v>
      </c>
      <c r="K48" s="41">
        <f t="shared" si="5"/>
        <v>20.157117635380178</v>
      </c>
      <c r="L48" s="41">
        <f>IF(H48=0,,VLOOKUP(H48,'Global industry averages'!$A$2:$O$96,7))</f>
        <v>0.95473675024367</v>
      </c>
    </row>
    <row r="49" spans="5:12">
      <c r="E49" t="s">
        <v>503</v>
      </c>
      <c r="H49" s="24"/>
      <c r="I49" s="24"/>
      <c r="J49" s="41">
        <f>IF(H49=0,,VLOOKUP(H49,'Global industry averages'!$A$2:$O$96,15))</f>
        <v>0</v>
      </c>
      <c r="K49" s="41">
        <f t="shared" si="5"/>
        <v>0</v>
      </c>
      <c r="L49" s="41">
        <f>IF(H49=0,,VLOOKUP(H49,'Global industry averages'!$A$2:$O$96,7))</f>
        <v>0</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160.04236086649789</v>
      </c>
      <c r="L59" s="56">
        <f>L47*(K47/K59)+L48*K48/K59+L49*K49/K59+L50*K50/K59+L51*K51/K59+L52*K52/K59+L53*K53/K59+L54*K54/K59+L55*K55/K59+L56*K56/K59+L57*K57/K59+L58*K58/K59</f>
        <v>0.69130402827371162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IF('Input Sheet'!B14="Yes",'Input Sheet'!B9+'Operating lease converter'!F32,'Input Sheet'!B9)</f>
        <v>770.5</v>
      </c>
      <c r="G5" s="13" t="s">
        <v>553</v>
      </c>
    </row>
    <row r="6" spans="1:7">
      <c r="A6" t="s">
        <v>521</v>
      </c>
      <c r="F6" s="41">
        <f>IF('Input Sheet'!B14="Yes",'Cost of capital worksheet'!B17+'Operating lease converter'!C28*'Operating lease converter'!C15,'Cost of capital worksheet'!B17)</f>
        <v>113.9</v>
      </c>
      <c r="G6" s="13" t="s">
        <v>554</v>
      </c>
    </row>
    <row r="7" spans="1:7">
      <c r="A7" t="s">
        <v>522</v>
      </c>
      <c r="F7" s="46">
        <f>'Input Sheet'!B27</f>
        <v>3.9E-2</v>
      </c>
    </row>
    <row r="8" spans="1:7">
      <c r="A8" t="s">
        <v>421</v>
      </c>
    </row>
    <row r="9" spans="1:7">
      <c r="A9" t="s">
        <v>523</v>
      </c>
      <c r="D9" s="41">
        <f>IF(F6=0,1000000,IF(F5&lt;0,-100000,F5/F6))</f>
        <v>6.7647058823529411</v>
      </c>
    </row>
    <row r="10" spans="1:7">
      <c r="A10" t="s">
        <v>524</v>
      </c>
      <c r="D10" s="41" t="str">
        <f>IF(C4=1,VLOOKUP(D9,A19:D33,3),(IF(C4=2,VLOOKUP(D9,A38:D52,3),VLOOKUP(D9,F19:I33,3))))</f>
        <v>Aa2/AA</v>
      </c>
      <c r="F10" t="s">
        <v>551</v>
      </c>
    </row>
    <row r="11" spans="1:7">
      <c r="A11" t="s">
        <v>525</v>
      </c>
      <c r="D11" s="41">
        <f>IF(C4=1,VLOOKUP(D9,A19:D33,4),(IF(C4=2,VLOOKUP(D9,A38:D52,4),VLOOKUP(D9,F19:I33,4))))</f>
        <v>8.5000000000000006E-3</v>
      </c>
      <c r="F11" t="s">
        <v>552</v>
      </c>
    </row>
    <row r="12" spans="1:7">
      <c r="A12" t="s">
        <v>526</v>
      </c>
      <c r="D12" s="41">
        <f>VLOOKUP('Input Sheet'!B5,'Country equity risk premiums'!A2:C153,3)</f>
        <v>0</v>
      </c>
    </row>
    <row r="13" spans="1:7">
      <c r="A13" t="s">
        <v>527</v>
      </c>
      <c r="D13" s="46">
        <f>F7+D11+D12</f>
        <v>4.7500000000000001E-2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2023-12-14T21:01:38Z</dcterms:modified>
</cp:coreProperties>
</file>